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ables/table2.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drawings/drawing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5.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Denne_projektmappe"/>
  <mc:AlternateContent xmlns:mc="http://schemas.openxmlformats.org/markup-compatibility/2006">
    <mc:Choice Requires="x15">
      <x15ac:absPath xmlns:x15ac="http://schemas.microsoft.com/office/spreadsheetml/2010/11/ac" url="https://transition.sharepoint.com/sites/Drift/Projekter/98.04 Kommunernes Landsforening - klimabeslutninger i kommunerne/98.02 KL - bæredygtighedsværktøj/Automatisering af KL værktøj/"/>
    </mc:Choice>
  </mc:AlternateContent>
  <xr:revisionPtr revIDLastSave="0" documentId="8_{72DF5B08-F6E7-49C5-BE7E-2537413C6656}" xr6:coauthVersionLast="47" xr6:coauthVersionMax="47" xr10:uidLastSave="{00000000-0000-0000-0000-000000000000}"/>
  <bookViews>
    <workbookView xWindow="-28920" yWindow="-120" windowWidth="29040" windowHeight="15720" firstSheet="1" activeTab="1" xr2:uid="{FD510A63-3D34-4918-8889-4A4D872FFCC7}"/>
  </bookViews>
  <sheets>
    <sheet name="Forside" sheetId="25" state="hidden" r:id="rId1"/>
    <sheet name="Scenarier" sheetId="22" r:id="rId2"/>
    <sheet name="Solceller" sheetId="28" state="hidden" r:id="rId3"/>
    <sheet name="Varmetab" sheetId="11" state="hidden" r:id="rId4"/>
    <sheet name="Baggrund data" sheetId="27" state="hidden" r:id="rId5"/>
    <sheet name="LCA data" sheetId="15" r:id="rId6"/>
    <sheet name="Dropdown" sheetId="2" state="hidden" r:id="rId7"/>
    <sheet name="Antagelser" sheetId="26" state="hidden" r:id="rId8"/>
  </sheets>
  <definedNames>
    <definedName name="_xlnm._FilterDatabase" localSheetId="7" hidden="1">Antagelser!$B$56:$G$104</definedName>
    <definedName name="_xlnm._FilterDatabase" localSheetId="4" hidden="1">'Baggrund data'!$D$55:$D$59</definedName>
    <definedName name="_xlnm._FilterDatabase" localSheetId="5" hidden="1">'LCA data'!$A$6:$M$186</definedName>
    <definedName name="_xlnm._FilterDatabase" localSheetId="1" hidden="1">Scenarier!#REF!</definedName>
    <definedName name="A_Fundament_ddown">'LCA data'!$W$262:$W$269</definedName>
    <definedName name="A_Procent_Yder1">Dropdown!$F$107:$F$207</definedName>
    <definedName name="A_Procent_Yder2">Dropdown!$G$107:$G$207</definedName>
    <definedName name="A_Procent_Yder3">Dropdown!$H$107:$H$207</definedName>
    <definedName name="A_Procent_Yder4">Dropdown!$I$107:$I$207</definedName>
    <definedName name="aluPEX" localSheetId="6">Dropdown!$AB$2:$AB$12</definedName>
    <definedName name="AluPEX">Varmetab!$E$126:$E$138</definedName>
    <definedName name="Angiv_ikke" localSheetId="3">Varmetab!$G$126:$G$138</definedName>
    <definedName name="Angiv_ikke">Dropdown!$AF$2:$AF$12</definedName>
    <definedName name="Antal_Etager_ddrop">Antal_Etager21[Antal Etager]</definedName>
    <definedName name="Benyt_Standard_ddown">Benyt_Standard[Column1]</definedName>
    <definedName name="Bygningstype_ddown">Bygningstype[Bygningstype]</definedName>
    <definedName name="Bygningsvægtddown">#REF!</definedName>
    <definedName name="Er_der_kælder">'Baggrund data'!$H$37:$H$38</definedName>
    <definedName name="Fundament_ddown">'LCA data'!$W$262:$W$265</definedName>
    <definedName name="Ingen">Dropdown!$AF$2</definedName>
    <definedName name="Ingen_rørudskift">Varmetab!$G$126:$G$136</definedName>
    <definedName name="Ja_Nej_ddown">'Baggrund data'!$H$33:$H$34</definedName>
    <definedName name="Kobber" localSheetId="6">Dropdown!$AD$2:$AD$12</definedName>
    <definedName name="Kobber">Varmetab!$F$126:$F$138</definedName>
    <definedName name="Konstruktions_type">#REF!</definedName>
    <definedName name="PEX" localSheetId="6">Dropdown!$Z$7:$Z$14</definedName>
    <definedName name="PEX">Varmetab!$D$126:$D$138</definedName>
    <definedName name="_xlnm.Print_Area" localSheetId="1">Scenarier!$B$6:$S$51</definedName>
    <definedName name="Rustfast_stål" localSheetId="6">Dropdown!$X$2:$X$19</definedName>
    <definedName name="Rustfast_stål">Varmetab!$C$126:$C$138</definedName>
    <definedName name="Solcelle_vinkel_ddown">Dropdown!$C$32:$C$38</definedName>
    <definedName name="Solceller_ddown">'LCA data'!$W$255:$W$259</definedName>
    <definedName name="Solceller_orientering_ddown">Dropdown!$E$32:$E$38</definedName>
    <definedName name="Solceller_placering_ddown">Dropdown!$F$32:$F$33</definedName>
    <definedName name="Solceller_vælg_standard_ddown">Dropdown!$C$42:$C$44</definedName>
    <definedName name="Tag">Dropdown!$P$2:$P$14</definedName>
    <definedName name="Tagform_ddown">Tagform_skema[Tagform]</definedName>
    <definedName name="Tagtype_ddown">#REF!</definedName>
    <definedName name="Terrændæk">Dropdown!$Q$2:$Q$14</definedName>
    <definedName name="Terrændæk_ddown">#REF!</definedName>
    <definedName name="Type_ddown">Type_Tung_Middel_Let[Column1]</definedName>
    <definedName name="Vinduer">Dropdown!$R$2:$R$14</definedName>
    <definedName name="Vælg_BygningsTYPER">Klimakravene[Klimakrav for bygninger]</definedName>
    <definedName name="Vælg_isolering">Isoleringsmateriale[Isolerings materiale]</definedName>
    <definedName name="VÆLG_TYPEN">'Baggrund data'!$C$7:$C$13</definedName>
    <definedName name="Ydervæg">Dropdown!$O$2:$O$14</definedName>
    <definedName name="År_for_byggetilladelse_ddown">Gældende_BR[År for byggetilladelse]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51" i="22" l="1"/>
  <c r="BQ50" i="22"/>
  <c r="BQ49" i="22"/>
  <c r="BQ48" i="22"/>
  <c r="BP48" i="22"/>
  <c r="BP51" i="22"/>
  <c r="BP50" i="22"/>
  <c r="BP49" i="22"/>
  <c r="X11" i="22"/>
  <c r="B58" i="27"/>
  <c r="C58" i="27"/>
  <c r="B10" i="26"/>
  <c r="B11" i="26"/>
  <c r="B12" i="26"/>
  <c r="B13" i="26"/>
  <c r="B14" i="26"/>
  <c r="B15" i="26"/>
  <c r="G27" i="26"/>
  <c r="K509" i="22"/>
  <c r="E36" i="22" s="1"/>
  <c r="F509" i="22"/>
  <c r="C36" i="22" l="1"/>
  <c r="F50" i="22"/>
  <c r="AH7" i="22"/>
  <c r="AH8" i="22"/>
  <c r="H105" i="2" l="1"/>
  <c r="G105" i="2"/>
  <c r="F105" i="2"/>
  <c r="G108" i="2" s="1"/>
  <c r="K515" i="22"/>
  <c r="C43" i="2"/>
  <c r="AB257" i="15"/>
  <c r="AB258" i="15"/>
  <c r="AB259" i="15"/>
  <c r="J103" i="2" l="1"/>
  <c r="G153" i="2"/>
  <c r="H153" i="2" s="1"/>
  <c r="I153" i="2" s="1"/>
  <c r="G129" i="2"/>
  <c r="H129" i="2" s="1"/>
  <c r="I129" i="2" s="1"/>
  <c r="G164" i="2"/>
  <c r="H164" i="2" s="1"/>
  <c r="I164" i="2" s="1"/>
  <c r="G128" i="2"/>
  <c r="H128" i="2" s="1"/>
  <c r="I128" i="2" s="1"/>
  <c r="G116" i="2"/>
  <c r="H116" i="2" s="1"/>
  <c r="I116" i="2" s="1"/>
  <c r="G151" i="2"/>
  <c r="H151" i="2" s="1"/>
  <c r="I151" i="2" s="1"/>
  <c r="G127" i="2"/>
  <c r="H127" i="2" s="1"/>
  <c r="I127" i="2" s="1"/>
  <c r="G192" i="2"/>
  <c r="H192" i="2" s="1"/>
  <c r="I192" i="2" s="1"/>
  <c r="G150" i="2"/>
  <c r="H150" i="2" s="1"/>
  <c r="I150" i="2" s="1"/>
  <c r="G126" i="2"/>
  <c r="H126" i="2" s="1"/>
  <c r="I126" i="2" s="1"/>
  <c r="G114" i="2"/>
  <c r="H114" i="2" s="1"/>
  <c r="I114" i="2" s="1"/>
  <c r="G191" i="2"/>
  <c r="H191" i="2" s="1"/>
  <c r="I191" i="2" s="1"/>
  <c r="G161" i="2"/>
  <c r="H161" i="2" s="1"/>
  <c r="I161" i="2" s="1"/>
  <c r="G137" i="2"/>
  <c r="H137" i="2" s="1"/>
  <c r="I137" i="2" s="1"/>
  <c r="G113" i="2"/>
  <c r="H113" i="2" s="1"/>
  <c r="I113" i="2" s="1"/>
  <c r="G190" i="2"/>
  <c r="H190" i="2" s="1"/>
  <c r="I190" i="2" s="1"/>
  <c r="G160" i="2"/>
  <c r="H160" i="2" s="1"/>
  <c r="I160" i="2" s="1"/>
  <c r="G148" i="2"/>
  <c r="H148" i="2" s="1"/>
  <c r="I148" i="2" s="1"/>
  <c r="G136" i="2"/>
  <c r="H136" i="2" s="1"/>
  <c r="I136" i="2" s="1"/>
  <c r="G124" i="2"/>
  <c r="H124" i="2" s="1"/>
  <c r="I124" i="2" s="1"/>
  <c r="G112" i="2"/>
  <c r="H112" i="2" s="1"/>
  <c r="I112" i="2" s="1"/>
  <c r="G155" i="2"/>
  <c r="H155" i="2" s="1"/>
  <c r="I155" i="2" s="1"/>
  <c r="G143" i="2"/>
  <c r="H143" i="2" s="1"/>
  <c r="I143" i="2" s="1"/>
  <c r="G107" i="2"/>
  <c r="H107" i="2" s="1"/>
  <c r="I107" i="2" s="1"/>
  <c r="G142" i="2"/>
  <c r="H142" i="2" s="1"/>
  <c r="I142" i="2" s="1"/>
  <c r="G118" i="2"/>
  <c r="H118" i="2" s="1"/>
  <c r="I118" i="2" s="1"/>
  <c r="G117" i="2"/>
  <c r="H117" i="2" s="1"/>
  <c r="I117" i="2" s="1"/>
  <c r="G202" i="2"/>
  <c r="H202" i="2" s="1"/>
  <c r="I202" i="2" s="1"/>
  <c r="G140" i="2"/>
  <c r="H140" i="2" s="1"/>
  <c r="I140" i="2" s="1"/>
  <c r="G201" i="2"/>
  <c r="H201" i="2" s="1"/>
  <c r="I201" i="2" s="1"/>
  <c r="G163" i="2"/>
  <c r="H163" i="2" s="1"/>
  <c r="I163" i="2" s="1"/>
  <c r="G139" i="2"/>
  <c r="H139" i="2" s="1"/>
  <c r="I139" i="2" s="1"/>
  <c r="G115" i="2"/>
  <c r="H115" i="2" s="1"/>
  <c r="I115" i="2" s="1"/>
  <c r="G162" i="2"/>
  <c r="H162" i="2" s="1"/>
  <c r="I162" i="2" s="1"/>
  <c r="G138" i="2"/>
  <c r="H138" i="2" s="1"/>
  <c r="I138" i="2" s="1"/>
  <c r="G149" i="2"/>
  <c r="H149" i="2" s="1"/>
  <c r="I149" i="2" s="1"/>
  <c r="G125" i="2"/>
  <c r="H125" i="2" s="1"/>
  <c r="I125" i="2" s="1"/>
  <c r="G179" i="2"/>
  <c r="H179" i="2" s="1"/>
  <c r="I179" i="2" s="1"/>
  <c r="G159" i="2"/>
  <c r="H159" i="2" s="1"/>
  <c r="I159" i="2" s="1"/>
  <c r="G147" i="2"/>
  <c r="H147" i="2" s="1"/>
  <c r="I147" i="2" s="1"/>
  <c r="G135" i="2"/>
  <c r="H135" i="2" s="1"/>
  <c r="I135" i="2" s="1"/>
  <c r="G123" i="2"/>
  <c r="H123" i="2" s="1"/>
  <c r="I123" i="2" s="1"/>
  <c r="G111" i="2"/>
  <c r="H111" i="2" s="1"/>
  <c r="I111" i="2" s="1"/>
  <c r="G131" i="2"/>
  <c r="H131" i="2" s="1"/>
  <c r="I131" i="2" s="1"/>
  <c r="G154" i="2"/>
  <c r="H154" i="2" s="1"/>
  <c r="I154" i="2" s="1"/>
  <c r="G130" i="2"/>
  <c r="H130" i="2" s="1"/>
  <c r="I130" i="2" s="1"/>
  <c r="G141" i="2"/>
  <c r="H141" i="2" s="1"/>
  <c r="I141" i="2" s="1"/>
  <c r="G152" i="2"/>
  <c r="H152" i="2" s="1"/>
  <c r="I152" i="2" s="1"/>
  <c r="G177" i="2"/>
  <c r="H177" i="2" s="1"/>
  <c r="I177" i="2" s="1"/>
  <c r="G158" i="2"/>
  <c r="H158" i="2" s="1"/>
  <c r="I158" i="2" s="1"/>
  <c r="G146" i="2"/>
  <c r="H146" i="2" s="1"/>
  <c r="I146" i="2" s="1"/>
  <c r="G134" i="2"/>
  <c r="H134" i="2" s="1"/>
  <c r="I134" i="2" s="1"/>
  <c r="G122" i="2"/>
  <c r="H122" i="2" s="1"/>
  <c r="I122" i="2" s="1"/>
  <c r="G110" i="2"/>
  <c r="H110" i="2" s="1"/>
  <c r="I110" i="2" s="1"/>
  <c r="G119" i="2"/>
  <c r="H119" i="2" s="1"/>
  <c r="I119" i="2" s="1"/>
  <c r="G166" i="2"/>
  <c r="H166" i="2" s="1"/>
  <c r="I166" i="2" s="1"/>
  <c r="G157" i="2"/>
  <c r="H157" i="2" s="1"/>
  <c r="I157" i="2" s="1"/>
  <c r="G145" i="2"/>
  <c r="H145" i="2" s="1"/>
  <c r="I145" i="2" s="1"/>
  <c r="G133" i="2"/>
  <c r="H133" i="2" s="1"/>
  <c r="I133" i="2" s="1"/>
  <c r="G121" i="2"/>
  <c r="H121" i="2" s="1"/>
  <c r="I121" i="2" s="1"/>
  <c r="G109" i="2"/>
  <c r="H109" i="2" s="1"/>
  <c r="I109" i="2" s="1"/>
  <c r="G165" i="2"/>
  <c r="H165" i="2" s="1"/>
  <c r="I165" i="2" s="1"/>
  <c r="G156" i="2"/>
  <c r="H156" i="2" s="1"/>
  <c r="I156" i="2" s="1"/>
  <c r="G144" i="2"/>
  <c r="H144" i="2" s="1"/>
  <c r="I144" i="2" s="1"/>
  <c r="G132" i="2"/>
  <c r="H132" i="2" s="1"/>
  <c r="I132" i="2" s="1"/>
  <c r="G120" i="2"/>
  <c r="H120" i="2" s="1"/>
  <c r="I120" i="2" s="1"/>
  <c r="G204" i="2"/>
  <c r="H204" i="2" s="1"/>
  <c r="I204" i="2" s="1"/>
  <c r="G168" i="2"/>
  <c r="H168" i="2" s="1"/>
  <c r="I168" i="2" s="1"/>
  <c r="G203" i="2"/>
  <c r="H203" i="2" s="1"/>
  <c r="I203" i="2" s="1"/>
  <c r="G167" i="2"/>
  <c r="H167" i="2" s="1"/>
  <c r="I167" i="2" s="1"/>
  <c r="G189" i="2"/>
  <c r="H189" i="2" s="1"/>
  <c r="I189" i="2" s="1"/>
  <c r="G180" i="2"/>
  <c r="H180" i="2" s="1"/>
  <c r="I180" i="2" s="1"/>
  <c r="G178" i="2"/>
  <c r="H178" i="2" s="1"/>
  <c r="I178" i="2" s="1"/>
  <c r="G207" i="2"/>
  <c r="H207" i="2" s="1"/>
  <c r="I207" i="2" s="1"/>
  <c r="G195" i="2"/>
  <c r="H195" i="2" s="1"/>
  <c r="I195" i="2" s="1"/>
  <c r="G171" i="2"/>
  <c r="H171" i="2" s="1"/>
  <c r="I171" i="2" s="1"/>
  <c r="G206" i="2"/>
  <c r="H206" i="2" s="1"/>
  <c r="I206" i="2" s="1"/>
  <c r="G194" i="2"/>
  <c r="H194" i="2" s="1"/>
  <c r="I194" i="2" s="1"/>
  <c r="G182" i="2"/>
  <c r="H182" i="2" s="1"/>
  <c r="I182" i="2" s="1"/>
  <c r="G170" i="2"/>
  <c r="H170" i="2" s="1"/>
  <c r="I170" i="2" s="1"/>
  <c r="G186" i="2"/>
  <c r="H186" i="2" s="1"/>
  <c r="I186" i="2" s="1"/>
  <c r="G183" i="2"/>
  <c r="H183" i="2" s="1"/>
  <c r="I183" i="2" s="1"/>
  <c r="G205" i="2"/>
  <c r="H205" i="2" s="1"/>
  <c r="I205" i="2" s="1"/>
  <c r="G193" i="2"/>
  <c r="H193" i="2" s="1"/>
  <c r="I193" i="2" s="1"/>
  <c r="G181" i="2"/>
  <c r="H181" i="2" s="1"/>
  <c r="I181" i="2" s="1"/>
  <c r="G169" i="2"/>
  <c r="H169" i="2" s="1"/>
  <c r="I169" i="2" s="1"/>
  <c r="G200" i="2"/>
  <c r="H200" i="2" s="1"/>
  <c r="I200" i="2" s="1"/>
  <c r="G188" i="2"/>
  <c r="H188" i="2" s="1"/>
  <c r="I188" i="2" s="1"/>
  <c r="G176" i="2"/>
  <c r="H176" i="2" s="1"/>
  <c r="I176" i="2" s="1"/>
  <c r="G199" i="2"/>
  <c r="H199" i="2" s="1"/>
  <c r="I199" i="2" s="1"/>
  <c r="G187" i="2"/>
  <c r="H187" i="2" s="1"/>
  <c r="I187" i="2" s="1"/>
  <c r="G175" i="2"/>
  <c r="H175" i="2" s="1"/>
  <c r="I175" i="2" s="1"/>
  <c r="G198" i="2"/>
  <c r="H198" i="2" s="1"/>
  <c r="I198" i="2" s="1"/>
  <c r="G174" i="2"/>
  <c r="H174" i="2" s="1"/>
  <c r="I174" i="2" s="1"/>
  <c r="G197" i="2"/>
  <c r="H197" i="2" s="1"/>
  <c r="I197" i="2" s="1"/>
  <c r="G185" i="2"/>
  <c r="H185" i="2" s="1"/>
  <c r="I185" i="2" s="1"/>
  <c r="G173" i="2"/>
  <c r="H173" i="2" s="1"/>
  <c r="I173" i="2" s="1"/>
  <c r="H108" i="2"/>
  <c r="I108" i="2" s="1"/>
  <c r="G196" i="2"/>
  <c r="H196" i="2" s="1"/>
  <c r="I196" i="2" s="1"/>
  <c r="G184" i="2"/>
  <c r="H184" i="2" s="1"/>
  <c r="I184" i="2" s="1"/>
  <c r="G172" i="2"/>
  <c r="H172" i="2" s="1"/>
  <c r="I172" i="2" s="1"/>
  <c r="I505" i="22"/>
  <c r="B8" i="28"/>
  <c r="B7" i="28"/>
  <c r="B6" i="28"/>
  <c r="AB256" i="15"/>
  <c r="B5" i="28"/>
  <c r="C515" i="22"/>
  <c r="C517" i="22" s="1"/>
  <c r="F514" i="22" l="1"/>
  <c r="K514" i="22"/>
  <c r="F515" i="22"/>
  <c r="O516" i="22"/>
  <c r="AC532" i="22"/>
  <c r="AE532" i="22"/>
  <c r="AC533" i="22"/>
  <c r="AD533" i="22"/>
  <c r="AE533" i="22"/>
  <c r="AC534" i="22"/>
  <c r="AD534" i="22"/>
  <c r="AE534" i="22"/>
  <c r="C535" i="22"/>
  <c r="D535" i="22"/>
  <c r="B255" i="15" l="1"/>
  <c r="AC510" i="22"/>
  <c r="AC509" i="22"/>
  <c r="U258" i="15" l="1"/>
  <c r="T258" i="15"/>
  <c r="S258" i="15"/>
  <c r="R258" i="15"/>
  <c r="Q258" i="15"/>
  <c r="P258" i="15"/>
  <c r="O258" i="15"/>
  <c r="B258" i="15"/>
  <c r="U259" i="15"/>
  <c r="T259" i="15"/>
  <c r="S259" i="15"/>
  <c r="R259" i="15"/>
  <c r="Q259" i="15"/>
  <c r="P259" i="15"/>
  <c r="O259" i="15"/>
  <c r="B259" i="15"/>
  <c r="U257" i="15"/>
  <c r="S257" i="15"/>
  <c r="R257" i="15"/>
  <c r="Q257" i="15"/>
  <c r="P257" i="15"/>
  <c r="O257" i="15"/>
  <c r="T257" i="15"/>
  <c r="B257" i="15"/>
  <c r="B256" i="15"/>
  <c r="U256" i="15"/>
  <c r="S256" i="15"/>
  <c r="R256" i="15"/>
  <c r="Q256" i="15"/>
  <c r="P256" i="15"/>
  <c r="O256" i="15"/>
  <c r="I256" i="15"/>
  <c r="T256" i="15" s="1"/>
  <c r="BW47" i="22"/>
  <c r="BV47" i="22"/>
  <c r="BU47" i="22"/>
  <c r="C24" i="26"/>
  <c r="D17" i="2" s="1"/>
  <c r="C22" i="26"/>
  <c r="D15" i="2" s="1"/>
  <c r="C21" i="26"/>
  <c r="D14" i="2" s="1"/>
  <c r="G23" i="26"/>
  <c r="F23" i="26"/>
  <c r="C23" i="26" s="1"/>
  <c r="D16" i="2" s="1"/>
  <c r="B252" i="15" l="1"/>
  <c r="B251" i="15"/>
  <c r="B247" i="15"/>
  <c r="B248" i="15"/>
  <c r="U252" i="15"/>
  <c r="S252" i="15"/>
  <c r="R252" i="15"/>
  <c r="Q252" i="15"/>
  <c r="P252" i="15"/>
  <c r="O252" i="15"/>
  <c r="I252" i="15"/>
  <c r="T252" i="15" s="1"/>
  <c r="U251" i="15"/>
  <c r="S251" i="15"/>
  <c r="R251" i="15"/>
  <c r="Q251" i="15"/>
  <c r="P251" i="15"/>
  <c r="O251" i="15"/>
  <c r="I251" i="15"/>
  <c r="T251" i="15" s="1"/>
  <c r="U247" i="15"/>
  <c r="S247" i="15"/>
  <c r="R247" i="15"/>
  <c r="Q247" i="15"/>
  <c r="P247" i="15"/>
  <c r="O247" i="15"/>
  <c r="U248" i="15"/>
  <c r="S248" i="15"/>
  <c r="R248" i="15"/>
  <c r="Q248" i="15"/>
  <c r="P248" i="15"/>
  <c r="O248" i="15"/>
  <c r="I248" i="15"/>
  <c r="T248" i="15" s="1"/>
  <c r="I247" i="15"/>
  <c r="T247" i="15" s="1"/>
  <c r="U30" i="15"/>
  <c r="S30" i="15"/>
  <c r="R30" i="15"/>
  <c r="Q30" i="15"/>
  <c r="P30" i="15"/>
  <c r="O30" i="15"/>
  <c r="I30" i="15"/>
  <c r="T30" i="15" s="1"/>
  <c r="X30" i="15" s="1"/>
  <c r="B30" i="15"/>
  <c r="U29" i="15"/>
  <c r="S29" i="15"/>
  <c r="R29" i="15"/>
  <c r="Q29" i="15"/>
  <c r="P29" i="15"/>
  <c r="O29" i="15"/>
  <c r="I29" i="15"/>
  <c r="T29" i="15" s="1"/>
  <c r="X29" i="15" s="1"/>
  <c r="B29" i="15"/>
  <c r="I184" i="15"/>
  <c r="T184" i="15" s="1"/>
  <c r="X184" i="15" s="1"/>
  <c r="B184" i="15"/>
  <c r="U268" i="15"/>
  <c r="S268" i="15"/>
  <c r="R268" i="15"/>
  <c r="Q268" i="15"/>
  <c r="P268" i="15"/>
  <c r="O268" i="15"/>
  <c r="I268" i="15"/>
  <c r="T268" i="15" s="1"/>
  <c r="X268" i="15" s="1"/>
  <c r="B268" i="15"/>
  <c r="A238" i="27"/>
  <c r="I269" i="15"/>
  <c r="T269" i="15" s="1"/>
  <c r="X269" i="15" s="1"/>
  <c r="I267" i="15"/>
  <c r="T267" i="15" s="1"/>
  <c r="X267" i="15" s="1"/>
  <c r="U269" i="15"/>
  <c r="S269" i="15"/>
  <c r="R269" i="15"/>
  <c r="Q269" i="15"/>
  <c r="P269" i="15"/>
  <c r="O269" i="15"/>
  <c r="B269" i="15"/>
  <c r="U267" i="15"/>
  <c r="S267" i="15"/>
  <c r="R267" i="15"/>
  <c r="Q267" i="15"/>
  <c r="P267" i="15"/>
  <c r="O267" i="15"/>
  <c r="B267" i="15"/>
  <c r="U266" i="15"/>
  <c r="S266" i="15"/>
  <c r="R266" i="15"/>
  <c r="Q266" i="15"/>
  <c r="P266" i="15"/>
  <c r="O266" i="15"/>
  <c r="I266" i="15"/>
  <c r="T266" i="15" s="1"/>
  <c r="X266" i="15" s="1"/>
  <c r="B266" i="15"/>
  <c r="U211" i="15"/>
  <c r="S211" i="15"/>
  <c r="R211" i="15"/>
  <c r="Q211" i="15"/>
  <c r="P211" i="15"/>
  <c r="O211" i="15"/>
  <c r="I211" i="15"/>
  <c r="T211" i="15" s="1"/>
  <c r="X211" i="15" s="1"/>
  <c r="B211" i="15"/>
  <c r="I182" i="15"/>
  <c r="T182" i="15" s="1"/>
  <c r="X182" i="15" s="1"/>
  <c r="B182" i="15"/>
  <c r="I172" i="15"/>
  <c r="X172" i="15" s="1"/>
  <c r="T172" i="15" s="1"/>
  <c r="B172" i="15"/>
  <c r="A312" i="27"/>
  <c r="U163" i="15"/>
  <c r="S163" i="15"/>
  <c r="R163" i="15"/>
  <c r="Q163" i="15"/>
  <c r="P163" i="15"/>
  <c r="O163" i="15"/>
  <c r="I163" i="15"/>
  <c r="T163" i="15" s="1"/>
  <c r="X163" i="15" s="1"/>
  <c r="B163" i="15"/>
  <c r="A310" i="27"/>
  <c r="A311" i="27"/>
  <c r="U162" i="15"/>
  <c r="S162" i="15"/>
  <c r="R162" i="15"/>
  <c r="Q162" i="15"/>
  <c r="P162" i="15"/>
  <c r="O162" i="15"/>
  <c r="I162" i="15"/>
  <c r="AC162" i="15" s="1"/>
  <c r="B162" i="15"/>
  <c r="U161" i="15"/>
  <c r="S161" i="15"/>
  <c r="R161" i="15"/>
  <c r="Q161" i="15"/>
  <c r="P161" i="15"/>
  <c r="O161" i="15"/>
  <c r="I161" i="15"/>
  <c r="T161" i="15" s="1"/>
  <c r="X161" i="15" s="1"/>
  <c r="B161" i="15"/>
  <c r="A355" i="27"/>
  <c r="U145" i="15"/>
  <c r="S145" i="15"/>
  <c r="R145" i="15"/>
  <c r="Q145" i="15"/>
  <c r="P145" i="15"/>
  <c r="O145" i="15"/>
  <c r="I145" i="15"/>
  <c r="T145" i="15" s="1"/>
  <c r="X145" i="15" s="1"/>
  <c r="B145" i="15"/>
  <c r="A323" i="27"/>
  <c r="U134" i="15"/>
  <c r="S134" i="15"/>
  <c r="R134" i="15"/>
  <c r="Q134" i="15"/>
  <c r="P134" i="15"/>
  <c r="O134" i="15"/>
  <c r="I134" i="15"/>
  <c r="T134" i="15" s="1"/>
  <c r="X134" i="15" s="1"/>
  <c r="B134" i="15"/>
  <c r="A342" i="27"/>
  <c r="U125" i="15"/>
  <c r="S125" i="15"/>
  <c r="R125" i="15"/>
  <c r="Q125" i="15"/>
  <c r="P125" i="15"/>
  <c r="O125" i="15"/>
  <c r="I125" i="15"/>
  <c r="T125" i="15" s="1"/>
  <c r="X125" i="15" s="1"/>
  <c r="B125" i="15"/>
  <c r="A291" i="27"/>
  <c r="AA114" i="15"/>
  <c r="AB115" i="15"/>
  <c r="U115" i="15"/>
  <c r="S115" i="15"/>
  <c r="R115" i="15"/>
  <c r="Q115" i="15"/>
  <c r="P115" i="15"/>
  <c r="O115" i="15"/>
  <c r="I115" i="15"/>
  <c r="T115" i="15" s="1"/>
  <c r="X115" i="15" s="1"/>
  <c r="B115" i="15"/>
  <c r="A274" i="27"/>
  <c r="U101" i="15"/>
  <c r="S101" i="15"/>
  <c r="R101" i="15"/>
  <c r="Q101" i="15"/>
  <c r="P101" i="15"/>
  <c r="O101" i="15"/>
  <c r="I101" i="15"/>
  <c r="T101" i="15" s="1"/>
  <c r="X101" i="15" s="1"/>
  <c r="B101" i="15"/>
  <c r="A257" i="27"/>
  <c r="AB89" i="15"/>
  <c r="U89" i="15"/>
  <c r="S89" i="15"/>
  <c r="R89" i="15"/>
  <c r="Q89" i="15"/>
  <c r="P89" i="15"/>
  <c r="O89" i="15"/>
  <c r="I89" i="15"/>
  <c r="T89" i="15" s="1"/>
  <c r="X89" i="15" s="1"/>
  <c r="B89" i="15"/>
  <c r="B73" i="15"/>
  <c r="A112" i="27"/>
  <c r="U73" i="15"/>
  <c r="T73" i="15"/>
  <c r="X73" i="15" s="1"/>
  <c r="S73" i="15"/>
  <c r="R73" i="15"/>
  <c r="Q73" i="15"/>
  <c r="P73" i="15"/>
  <c r="O73" i="15"/>
  <c r="B61" i="15"/>
  <c r="U61" i="15"/>
  <c r="S61" i="15"/>
  <c r="R61" i="15"/>
  <c r="Q61" i="15"/>
  <c r="P61" i="15"/>
  <c r="O61" i="15"/>
  <c r="I61" i="15"/>
  <c r="T61" i="15" s="1"/>
  <c r="X61" i="15" s="1"/>
  <c r="U28" i="15"/>
  <c r="S28" i="15"/>
  <c r="R28" i="15"/>
  <c r="Q28" i="15"/>
  <c r="P28" i="15"/>
  <c r="O28" i="15"/>
  <c r="I28" i="15"/>
  <c r="T28" i="15" s="1"/>
  <c r="X28" i="15" s="1"/>
  <c r="B28" i="15"/>
  <c r="U21" i="15"/>
  <c r="S21" i="15"/>
  <c r="R21" i="15"/>
  <c r="Q21" i="15"/>
  <c r="P21" i="15"/>
  <c r="O21" i="15"/>
  <c r="I21" i="15"/>
  <c r="T21" i="15" s="1"/>
  <c r="X21" i="15" s="1"/>
  <c r="B21" i="15"/>
  <c r="U48" i="15"/>
  <c r="S48" i="15"/>
  <c r="R48" i="15"/>
  <c r="Q48" i="15"/>
  <c r="P48" i="15"/>
  <c r="O48" i="15"/>
  <c r="I48" i="15"/>
  <c r="T48" i="15" s="1"/>
  <c r="X48" i="15" s="1"/>
  <c r="B48" i="15"/>
  <c r="I26" i="15"/>
  <c r="I27" i="15"/>
  <c r="AC16" i="15"/>
  <c r="A241" i="27"/>
  <c r="A240" i="27"/>
  <c r="A239" i="27"/>
  <c r="U214" i="15"/>
  <c r="S214" i="15"/>
  <c r="R214" i="15"/>
  <c r="Q214" i="15"/>
  <c r="P214" i="15"/>
  <c r="O214" i="15"/>
  <c r="I214" i="15"/>
  <c r="T214" i="15" s="1"/>
  <c r="X214" i="15" s="1"/>
  <c r="B214" i="15"/>
  <c r="U213" i="15"/>
  <c r="S213" i="15"/>
  <c r="R213" i="15"/>
  <c r="Q213" i="15"/>
  <c r="P213" i="15"/>
  <c r="O213" i="15"/>
  <c r="I213" i="15"/>
  <c r="T213" i="15" s="1"/>
  <c r="X213" i="15" s="1"/>
  <c r="B213" i="15"/>
  <c r="U212" i="15"/>
  <c r="S212" i="15"/>
  <c r="R212" i="15"/>
  <c r="Q212" i="15"/>
  <c r="P212" i="15"/>
  <c r="O212" i="15"/>
  <c r="I212" i="15"/>
  <c r="T212" i="15" s="1"/>
  <c r="X212" i="15" s="1"/>
  <c r="B212" i="15"/>
  <c r="A315" i="27"/>
  <c r="A314" i="27"/>
  <c r="A313" i="27"/>
  <c r="U165" i="15"/>
  <c r="S165" i="15"/>
  <c r="R165" i="15"/>
  <c r="Q165" i="15"/>
  <c r="P165" i="15"/>
  <c r="O165" i="15"/>
  <c r="I165" i="15"/>
  <c r="T165" i="15" s="1"/>
  <c r="X165" i="15" s="1"/>
  <c r="B165" i="15"/>
  <c r="U164" i="15"/>
  <c r="S164" i="15"/>
  <c r="R164" i="15"/>
  <c r="Q164" i="15"/>
  <c r="P164" i="15"/>
  <c r="O164" i="15"/>
  <c r="I164" i="15"/>
  <c r="T164" i="15" s="1"/>
  <c r="X164" i="15" s="1"/>
  <c r="B164" i="15"/>
  <c r="U160" i="15"/>
  <c r="S160" i="15"/>
  <c r="R160" i="15"/>
  <c r="Q160" i="15"/>
  <c r="P160" i="15"/>
  <c r="O160" i="15"/>
  <c r="I160" i="15"/>
  <c r="T160" i="15" s="1"/>
  <c r="X160" i="15" s="1"/>
  <c r="B160" i="15"/>
  <c r="A358" i="27"/>
  <c r="A357" i="27"/>
  <c r="A356" i="27"/>
  <c r="U146" i="15"/>
  <c r="S146" i="15"/>
  <c r="R146" i="15"/>
  <c r="Q146" i="15"/>
  <c r="P146" i="15"/>
  <c r="O146" i="15"/>
  <c r="I146" i="15"/>
  <c r="T146" i="15" s="1"/>
  <c r="X146" i="15" s="1"/>
  <c r="B146" i="15"/>
  <c r="U147" i="15"/>
  <c r="S147" i="15"/>
  <c r="R147" i="15"/>
  <c r="Q147" i="15"/>
  <c r="P147" i="15"/>
  <c r="O147" i="15"/>
  <c r="I147" i="15"/>
  <c r="T147" i="15" s="1"/>
  <c r="X147" i="15" s="1"/>
  <c r="B147" i="15"/>
  <c r="A326" i="27"/>
  <c r="A325" i="27"/>
  <c r="A324" i="27"/>
  <c r="B322" i="27"/>
  <c r="U136" i="15"/>
  <c r="S136" i="15"/>
  <c r="R136" i="15"/>
  <c r="Q136" i="15"/>
  <c r="P136" i="15"/>
  <c r="O136" i="15"/>
  <c r="I136" i="15"/>
  <c r="T136" i="15" s="1"/>
  <c r="X136" i="15" s="1"/>
  <c r="B136" i="15"/>
  <c r="A345" i="27"/>
  <c r="A344" i="27"/>
  <c r="A343" i="27"/>
  <c r="B341" i="27"/>
  <c r="AA127" i="15"/>
  <c r="U127" i="15"/>
  <c r="S127" i="15"/>
  <c r="R127" i="15"/>
  <c r="Q127" i="15"/>
  <c r="P127" i="15"/>
  <c r="O127" i="15"/>
  <c r="I127" i="15"/>
  <c r="T127" i="15" s="1"/>
  <c r="X127" i="15" s="1"/>
  <c r="B127" i="15"/>
  <c r="AA126" i="15"/>
  <c r="U126" i="15"/>
  <c r="S126" i="15"/>
  <c r="R126" i="15"/>
  <c r="Q126" i="15"/>
  <c r="P126" i="15"/>
  <c r="O126" i="15"/>
  <c r="I126" i="15"/>
  <c r="T126" i="15" s="1"/>
  <c r="X126" i="15" s="1"/>
  <c r="B126" i="15"/>
  <c r="AA124" i="15"/>
  <c r="U124" i="15"/>
  <c r="S124" i="15"/>
  <c r="R124" i="15"/>
  <c r="Q124" i="15"/>
  <c r="P124" i="15"/>
  <c r="O124" i="15"/>
  <c r="I124" i="15"/>
  <c r="T124" i="15" s="1"/>
  <c r="X124" i="15" s="1"/>
  <c r="B124" i="15"/>
  <c r="A294" i="27"/>
  <c r="A293" i="27"/>
  <c r="A292" i="27"/>
  <c r="A277" i="27"/>
  <c r="A276" i="27"/>
  <c r="A275" i="27"/>
  <c r="U102" i="15"/>
  <c r="S102" i="15"/>
  <c r="R102" i="15"/>
  <c r="Q102" i="15"/>
  <c r="P102" i="15"/>
  <c r="O102" i="15"/>
  <c r="I102" i="15"/>
  <c r="T102" i="15" s="1"/>
  <c r="X102" i="15" s="1"/>
  <c r="B102" i="15"/>
  <c r="U103" i="15"/>
  <c r="S103" i="15"/>
  <c r="R103" i="15"/>
  <c r="Q103" i="15"/>
  <c r="P103" i="15"/>
  <c r="O103" i="15"/>
  <c r="I103" i="15"/>
  <c r="T103" i="15" s="1"/>
  <c r="X103" i="15" s="1"/>
  <c r="B103" i="15"/>
  <c r="A260" i="27"/>
  <c r="A259" i="27"/>
  <c r="A258" i="27"/>
  <c r="U90" i="15"/>
  <c r="S90" i="15"/>
  <c r="R90" i="15"/>
  <c r="Q90" i="15"/>
  <c r="P90" i="15"/>
  <c r="O90" i="15"/>
  <c r="I90" i="15"/>
  <c r="T90" i="15" s="1"/>
  <c r="X90" i="15" s="1"/>
  <c r="B90" i="15"/>
  <c r="U91" i="15"/>
  <c r="S91" i="15"/>
  <c r="R91" i="15"/>
  <c r="Q91" i="15"/>
  <c r="P91" i="15"/>
  <c r="O91" i="15"/>
  <c r="I91" i="15"/>
  <c r="T91" i="15" s="1"/>
  <c r="X91" i="15" s="1"/>
  <c r="B91" i="15"/>
  <c r="A223" i="27"/>
  <c r="A222" i="27"/>
  <c r="A221" i="27"/>
  <c r="U62" i="15"/>
  <c r="S62" i="15"/>
  <c r="R62" i="15"/>
  <c r="Q62" i="15"/>
  <c r="P62" i="15"/>
  <c r="O62" i="15"/>
  <c r="I62" i="15"/>
  <c r="T62" i="15" s="1"/>
  <c r="X62" i="15" s="1"/>
  <c r="B62" i="15"/>
  <c r="A115" i="27"/>
  <c r="A114" i="27"/>
  <c r="A113" i="27"/>
  <c r="I31" i="15"/>
  <c r="A202" i="27"/>
  <c r="A201" i="27"/>
  <c r="A200" i="27"/>
  <c r="I11" i="15"/>
  <c r="AC11" i="15" s="1"/>
  <c r="I24" i="15"/>
  <c r="AC24" i="15" s="1"/>
  <c r="I23" i="15"/>
  <c r="AC23" i="15" s="1"/>
  <c r="I22" i="15"/>
  <c r="T22" i="15" s="1"/>
  <c r="X22" i="15" s="1"/>
  <c r="I20" i="15"/>
  <c r="AC20" i="15" s="1"/>
  <c r="U22" i="15"/>
  <c r="S22" i="15"/>
  <c r="R22" i="15"/>
  <c r="Q22" i="15"/>
  <c r="P22" i="15"/>
  <c r="O22" i="15"/>
  <c r="B22" i="15"/>
  <c r="A88" i="27"/>
  <c r="A87" i="27"/>
  <c r="A86" i="27"/>
  <c r="S41" i="15"/>
  <c r="U50" i="15"/>
  <c r="S50" i="15"/>
  <c r="R50" i="15"/>
  <c r="Q50" i="15"/>
  <c r="P50" i="15"/>
  <c r="O50" i="15"/>
  <c r="I50" i="15"/>
  <c r="T50" i="15" s="1"/>
  <c r="X50" i="15" s="1"/>
  <c r="B50" i="15"/>
  <c r="U49" i="15"/>
  <c r="S49" i="15"/>
  <c r="R49" i="15"/>
  <c r="Q49" i="15"/>
  <c r="P49" i="15"/>
  <c r="O49" i="15"/>
  <c r="I49" i="15"/>
  <c r="T49" i="15" s="1"/>
  <c r="X49" i="15" s="1"/>
  <c r="B49" i="15"/>
  <c r="U47" i="15"/>
  <c r="S47" i="15"/>
  <c r="R47" i="15"/>
  <c r="Q47" i="15"/>
  <c r="P47" i="15"/>
  <c r="O47" i="15"/>
  <c r="I47" i="15"/>
  <c r="T47" i="15" s="1"/>
  <c r="X47" i="15" s="1"/>
  <c r="B47" i="15"/>
  <c r="AC211" i="15" l="1"/>
  <c r="AC161" i="15"/>
  <c r="T162" i="15"/>
  <c r="X162" i="15" s="1"/>
  <c r="AC163" i="15"/>
  <c r="AC126" i="15"/>
  <c r="AC213" i="15"/>
  <c r="AC91" i="15"/>
  <c r="AC146" i="15"/>
  <c r="AC147" i="15"/>
  <c r="AC214" i="15"/>
  <c r="AC102" i="15"/>
  <c r="AC212" i="15"/>
  <c r="AC124" i="15"/>
  <c r="AC165" i="15"/>
  <c r="AC164" i="15"/>
  <c r="AC103" i="15"/>
  <c r="AC22" i="15"/>
  <c r="AC160" i="15"/>
  <c r="AC90" i="15"/>
  <c r="AC127" i="15"/>
  <c r="X18" i="22"/>
  <c r="BL51" i="22" s="1"/>
  <c r="BV50" i="22" s="1"/>
  <c r="I51" i="15"/>
  <c r="B272" i="27" l="1"/>
  <c r="B24" i="26"/>
  <c r="AF28" i="22" l="1"/>
  <c r="AE28" i="22"/>
  <c r="AD28" i="22"/>
  <c r="AG28" i="22" l="1"/>
  <c r="AD34" i="22" l="1"/>
  <c r="AD33" i="22"/>
  <c r="AB34" i="22"/>
  <c r="AB33" i="22"/>
  <c r="AC72" i="15"/>
  <c r="AB110" i="15"/>
  <c r="AB111" i="15"/>
  <c r="AB112" i="15"/>
  <c r="AB113" i="15"/>
  <c r="AB114" i="15"/>
  <c r="AB116" i="15"/>
  <c r="AB117" i="15"/>
  <c r="AB118" i="15"/>
  <c r="AB108" i="15"/>
  <c r="AB109" i="15"/>
  <c r="AB107" i="15"/>
  <c r="AB92" i="15"/>
  <c r="AB88" i="15"/>
  <c r="AB87" i="15"/>
  <c r="AB86" i="15"/>
  <c r="AB85" i="15"/>
  <c r="AB84" i="15"/>
  <c r="AB83" i="15"/>
  <c r="AB82" i="15"/>
  <c r="AB81" i="15"/>
  <c r="AB80" i="15"/>
  <c r="AB79" i="15"/>
  <c r="B340" i="27" l="1"/>
  <c r="B339" i="27"/>
  <c r="B338" i="27"/>
  <c r="B320" i="27"/>
  <c r="B321" i="27"/>
  <c r="B362" i="27" l="1"/>
  <c r="X26" i="22"/>
  <c r="C50" i="22" l="1"/>
  <c r="C486" i="22"/>
  <c r="AJ532" i="22"/>
  <c r="AK532" i="22"/>
  <c r="B280" i="27"/>
  <c r="B297" i="27"/>
  <c r="B244" i="27"/>
  <c r="AA154" i="15"/>
  <c r="AA153" i="15"/>
  <c r="AN315" i="22"/>
  <c r="AO315" i="22"/>
  <c r="AR315" i="22"/>
  <c r="AR313" i="22" s="1"/>
  <c r="AS315" i="22"/>
  <c r="AS313" i="22" s="1"/>
  <c r="AN316" i="22"/>
  <c r="AO316" i="22"/>
  <c r="Y85" i="15"/>
  <c r="AA85" i="15" s="1"/>
  <c r="AA83" i="15"/>
  <c r="AA82" i="15"/>
  <c r="AA81" i="15"/>
  <c r="AA80" i="15"/>
  <c r="U86" i="15"/>
  <c r="S86" i="15"/>
  <c r="R86" i="15"/>
  <c r="Q86" i="15"/>
  <c r="P86" i="15"/>
  <c r="O86" i="15"/>
  <c r="I86" i="15"/>
  <c r="U85" i="15"/>
  <c r="S85" i="15"/>
  <c r="R85" i="15"/>
  <c r="Q85" i="15"/>
  <c r="P85" i="15"/>
  <c r="O85" i="15"/>
  <c r="I85" i="15"/>
  <c r="L84" i="15"/>
  <c r="U84" i="15" s="1"/>
  <c r="I84" i="15"/>
  <c r="AC84" i="15" s="1"/>
  <c r="U83" i="15"/>
  <c r="S83" i="15"/>
  <c r="R83" i="15"/>
  <c r="Q83" i="15"/>
  <c r="P83" i="15"/>
  <c r="O83" i="15"/>
  <c r="I83" i="15"/>
  <c r="U82" i="15"/>
  <c r="S82" i="15"/>
  <c r="R82" i="15"/>
  <c r="Q82" i="15"/>
  <c r="P82" i="15"/>
  <c r="O82" i="15"/>
  <c r="I82" i="15"/>
  <c r="U81" i="15"/>
  <c r="S81" i="15"/>
  <c r="R81" i="15"/>
  <c r="Q81" i="15"/>
  <c r="P81" i="15"/>
  <c r="O81" i="15"/>
  <c r="I81" i="15"/>
  <c r="U80" i="15"/>
  <c r="S80" i="15"/>
  <c r="R80" i="15"/>
  <c r="Q80" i="15"/>
  <c r="P80" i="15"/>
  <c r="O80" i="15"/>
  <c r="I80" i="15"/>
  <c r="U79" i="15"/>
  <c r="S79" i="15"/>
  <c r="R79" i="15"/>
  <c r="Q79" i="15"/>
  <c r="P79" i="15"/>
  <c r="O79" i="15"/>
  <c r="I79" i="15"/>
  <c r="AA27" i="15"/>
  <c r="U27" i="15"/>
  <c r="T27" i="15"/>
  <c r="X27" i="15" s="1"/>
  <c r="S27" i="15"/>
  <c r="R27" i="15"/>
  <c r="Q27" i="15"/>
  <c r="P27" i="15"/>
  <c r="O27" i="15"/>
  <c r="U26" i="15"/>
  <c r="S26" i="15"/>
  <c r="R26" i="15"/>
  <c r="Q26" i="15"/>
  <c r="P26" i="15"/>
  <c r="O26" i="15"/>
  <c r="T26" i="15"/>
  <c r="X26" i="15" s="1"/>
  <c r="AA18" i="15"/>
  <c r="AA15" i="15"/>
  <c r="U24" i="15"/>
  <c r="T24" i="15"/>
  <c r="X24" i="15" s="1"/>
  <c r="S24" i="15"/>
  <c r="R24" i="15"/>
  <c r="Q24" i="15"/>
  <c r="P24" i="15"/>
  <c r="O24" i="15"/>
  <c r="U23" i="15"/>
  <c r="T23" i="15"/>
  <c r="X23" i="15" s="1"/>
  <c r="S23" i="15"/>
  <c r="R23" i="15"/>
  <c r="Q23" i="15"/>
  <c r="P23" i="15"/>
  <c r="O23" i="15"/>
  <c r="U20" i="15"/>
  <c r="S20" i="15"/>
  <c r="R20" i="15"/>
  <c r="Q20" i="15"/>
  <c r="P20" i="15"/>
  <c r="O20" i="15"/>
  <c r="T20" i="15"/>
  <c r="X20" i="15" s="1"/>
  <c r="U19" i="15"/>
  <c r="S19" i="15"/>
  <c r="R19" i="15"/>
  <c r="Q19" i="15"/>
  <c r="P19" i="15"/>
  <c r="O19" i="15"/>
  <c r="I19" i="15"/>
  <c r="U18" i="15"/>
  <c r="S18" i="15"/>
  <c r="R18" i="15"/>
  <c r="Q18" i="15"/>
  <c r="P18" i="15"/>
  <c r="O18" i="15"/>
  <c r="I18" i="15"/>
  <c r="U17" i="15"/>
  <c r="S17" i="15"/>
  <c r="R17" i="15"/>
  <c r="Q17" i="15"/>
  <c r="P17" i="15"/>
  <c r="O17" i="15"/>
  <c r="I17" i="15"/>
  <c r="U16" i="15"/>
  <c r="T16" i="15"/>
  <c r="X16" i="15" s="1"/>
  <c r="S16" i="15"/>
  <c r="R16" i="15"/>
  <c r="Q16" i="15"/>
  <c r="P16" i="15"/>
  <c r="O16" i="15"/>
  <c r="U15" i="15"/>
  <c r="S15" i="15"/>
  <c r="R15" i="15"/>
  <c r="Q15" i="15"/>
  <c r="P15" i="15"/>
  <c r="O15" i="15"/>
  <c r="I15" i="15"/>
  <c r="U14" i="15"/>
  <c r="S14" i="15"/>
  <c r="R14" i="15"/>
  <c r="Q14" i="15"/>
  <c r="P14" i="15"/>
  <c r="O14" i="15"/>
  <c r="I14" i="15"/>
  <c r="U13" i="15"/>
  <c r="S13" i="15"/>
  <c r="R13" i="15"/>
  <c r="Q13" i="15"/>
  <c r="P13" i="15"/>
  <c r="O13" i="15"/>
  <c r="I13" i="15"/>
  <c r="U12" i="15"/>
  <c r="S12" i="15"/>
  <c r="R12" i="15"/>
  <c r="Q12" i="15"/>
  <c r="P12" i="15"/>
  <c r="O12" i="15"/>
  <c r="I12" i="15"/>
  <c r="U11" i="15"/>
  <c r="S11" i="15"/>
  <c r="R11" i="15"/>
  <c r="Q11" i="15"/>
  <c r="P11" i="15"/>
  <c r="O11" i="15"/>
  <c r="T11" i="15"/>
  <c r="X11" i="15" s="1"/>
  <c r="U10" i="15"/>
  <c r="S10" i="15"/>
  <c r="R10" i="15"/>
  <c r="Q10" i="15"/>
  <c r="P10" i="15"/>
  <c r="O10" i="15"/>
  <c r="I10" i="15"/>
  <c r="U9" i="15"/>
  <c r="S9" i="15"/>
  <c r="R9" i="15"/>
  <c r="Q9" i="15"/>
  <c r="P9" i="15"/>
  <c r="O9" i="15"/>
  <c r="I9" i="15"/>
  <c r="AA264" i="15"/>
  <c r="AA265" i="15"/>
  <c r="AO325" i="22"/>
  <c r="AN325" i="22"/>
  <c r="AS324" i="22"/>
  <c r="AS322" i="22" s="1"/>
  <c r="AR324" i="22"/>
  <c r="AR322" i="22" s="1"/>
  <c r="AO324" i="22"/>
  <c r="AN324" i="22"/>
  <c r="AO307" i="22"/>
  <c r="AN307" i="22"/>
  <c r="AS306" i="22"/>
  <c r="AS304" i="22" s="1"/>
  <c r="AR306" i="22"/>
  <c r="AR304" i="22" s="1"/>
  <c r="AO306" i="22"/>
  <c r="AN306" i="22"/>
  <c r="AO298" i="22"/>
  <c r="AN298" i="22"/>
  <c r="AS297" i="22"/>
  <c r="AS295" i="22" s="1"/>
  <c r="AR297" i="22"/>
  <c r="AR295" i="22" s="1"/>
  <c r="AO297" i="22"/>
  <c r="AN297" i="22"/>
  <c r="AO273" i="22"/>
  <c r="AO274" i="22"/>
  <c r="AO275" i="22"/>
  <c r="AO276" i="22"/>
  <c r="AO277" i="22"/>
  <c r="I181" i="15"/>
  <c r="T181" i="15" s="1"/>
  <c r="X181" i="15" s="1"/>
  <c r="I180" i="15"/>
  <c r="T180" i="15" s="1"/>
  <c r="X180" i="15" s="1"/>
  <c r="Y179" i="15"/>
  <c r="I179" i="15"/>
  <c r="T179" i="15" s="1"/>
  <c r="X179" i="15" s="1"/>
  <c r="Y178" i="15"/>
  <c r="I178" i="15"/>
  <c r="T178" i="15" s="1"/>
  <c r="X178" i="15" s="1"/>
  <c r="D171" i="15"/>
  <c r="I171" i="15" s="1"/>
  <c r="X171" i="15" s="1"/>
  <c r="T171" i="15" s="1"/>
  <c r="I170" i="15"/>
  <c r="X170" i="15" s="1"/>
  <c r="T170" i="15" s="1"/>
  <c r="I169" i="15"/>
  <c r="X169" i="15" s="1"/>
  <c r="T169" i="15" s="1"/>
  <c r="I173" i="15"/>
  <c r="X173" i="15" s="1"/>
  <c r="T173" i="15" s="1"/>
  <c r="I174" i="15"/>
  <c r="X174" i="15" s="1"/>
  <c r="T174" i="15" s="1"/>
  <c r="I175" i="15"/>
  <c r="X175" i="15" s="1"/>
  <c r="T175" i="15" s="1"/>
  <c r="U137" i="15"/>
  <c r="S137" i="15"/>
  <c r="R137" i="15"/>
  <c r="Q137" i="15"/>
  <c r="P137" i="15"/>
  <c r="O137" i="15"/>
  <c r="I137" i="15"/>
  <c r="T137" i="15" s="1"/>
  <c r="X137" i="15" s="1"/>
  <c r="U135" i="15"/>
  <c r="S135" i="15"/>
  <c r="R135" i="15"/>
  <c r="Q135" i="15"/>
  <c r="P135" i="15"/>
  <c r="O135" i="15"/>
  <c r="I135" i="15"/>
  <c r="T135" i="15" s="1"/>
  <c r="X135" i="15" s="1"/>
  <c r="U133" i="15"/>
  <c r="S133" i="15"/>
  <c r="R133" i="15"/>
  <c r="Q133" i="15"/>
  <c r="P133" i="15"/>
  <c r="O133" i="15"/>
  <c r="I133" i="15"/>
  <c r="T133" i="15" s="1"/>
  <c r="X133" i="15" s="1"/>
  <c r="U132" i="15"/>
  <c r="S132" i="15"/>
  <c r="R132" i="15"/>
  <c r="Q132" i="15"/>
  <c r="P132" i="15"/>
  <c r="O132" i="15"/>
  <c r="I132" i="15"/>
  <c r="T132" i="15" s="1"/>
  <c r="X132" i="15" s="1"/>
  <c r="U131" i="15"/>
  <c r="S131" i="15"/>
  <c r="R131" i="15"/>
  <c r="Q131" i="15"/>
  <c r="P131" i="15"/>
  <c r="O131" i="15"/>
  <c r="I131" i="15"/>
  <c r="T131" i="15" s="1"/>
  <c r="X131" i="15" s="1"/>
  <c r="AA111" i="15"/>
  <c r="AA110" i="15"/>
  <c r="AA109" i="15"/>
  <c r="AA108" i="15"/>
  <c r="U118" i="15"/>
  <c r="S118" i="15"/>
  <c r="R118" i="15"/>
  <c r="Q118" i="15"/>
  <c r="P118" i="15"/>
  <c r="O118" i="15"/>
  <c r="I118" i="15"/>
  <c r="U117" i="15"/>
  <c r="S117" i="15"/>
  <c r="R117" i="15"/>
  <c r="Q117" i="15"/>
  <c r="P117" i="15"/>
  <c r="O117" i="15"/>
  <c r="I117" i="15"/>
  <c r="U116" i="15"/>
  <c r="S116" i="15"/>
  <c r="R116" i="15"/>
  <c r="Q116" i="15"/>
  <c r="P116" i="15"/>
  <c r="O116" i="15"/>
  <c r="I116" i="15"/>
  <c r="U114" i="15"/>
  <c r="S114" i="15"/>
  <c r="R114" i="15"/>
  <c r="Q114" i="15"/>
  <c r="P114" i="15"/>
  <c r="O114" i="15"/>
  <c r="I114" i="15"/>
  <c r="U113" i="15"/>
  <c r="S113" i="15"/>
  <c r="R113" i="15"/>
  <c r="Q113" i="15"/>
  <c r="P113" i="15"/>
  <c r="O113" i="15"/>
  <c r="I113" i="15"/>
  <c r="U112" i="15"/>
  <c r="S112" i="15"/>
  <c r="R112" i="15"/>
  <c r="Q112" i="15"/>
  <c r="P112" i="15"/>
  <c r="O112" i="15"/>
  <c r="I112" i="15"/>
  <c r="U111" i="15"/>
  <c r="S111" i="15"/>
  <c r="R111" i="15"/>
  <c r="Q111" i="15"/>
  <c r="P111" i="15"/>
  <c r="O111" i="15"/>
  <c r="I111" i="15"/>
  <c r="U110" i="15"/>
  <c r="S110" i="15"/>
  <c r="R110" i="15"/>
  <c r="Q110" i="15"/>
  <c r="P110" i="15"/>
  <c r="O110" i="15"/>
  <c r="I110" i="15"/>
  <c r="U109" i="15"/>
  <c r="S109" i="15"/>
  <c r="R109" i="15"/>
  <c r="Q109" i="15"/>
  <c r="P109" i="15"/>
  <c r="O109" i="15"/>
  <c r="I109" i="15"/>
  <c r="U108" i="15"/>
  <c r="S108" i="15"/>
  <c r="R108" i="15"/>
  <c r="Q108" i="15"/>
  <c r="P108" i="15"/>
  <c r="O108" i="15"/>
  <c r="I108" i="15"/>
  <c r="U107" i="15"/>
  <c r="S107" i="15"/>
  <c r="R107" i="15"/>
  <c r="Q107" i="15"/>
  <c r="P107" i="15"/>
  <c r="O107" i="15"/>
  <c r="I107" i="15"/>
  <c r="AA99" i="15"/>
  <c r="AA97" i="15"/>
  <c r="AA96" i="15"/>
  <c r="AA95" i="15"/>
  <c r="U104" i="15"/>
  <c r="S104" i="15"/>
  <c r="R104" i="15"/>
  <c r="Q104" i="15"/>
  <c r="P104" i="15"/>
  <c r="O104" i="15"/>
  <c r="I104" i="15"/>
  <c r="U100" i="15"/>
  <c r="S100" i="15"/>
  <c r="R100" i="15"/>
  <c r="Q100" i="15"/>
  <c r="P100" i="15"/>
  <c r="O100" i="15"/>
  <c r="I100" i="15"/>
  <c r="U99" i="15"/>
  <c r="S99" i="15"/>
  <c r="R99" i="15"/>
  <c r="Q99" i="15"/>
  <c r="P99" i="15"/>
  <c r="O99" i="15"/>
  <c r="I99" i="15"/>
  <c r="U98" i="15"/>
  <c r="S98" i="15"/>
  <c r="R98" i="15"/>
  <c r="Q98" i="15"/>
  <c r="P98" i="15"/>
  <c r="D98" i="15"/>
  <c r="O98" i="15" s="1"/>
  <c r="S97" i="15"/>
  <c r="R97" i="15"/>
  <c r="Q97" i="15"/>
  <c r="P97" i="15"/>
  <c r="O97" i="15"/>
  <c r="J97" i="15"/>
  <c r="U97" i="15" s="1"/>
  <c r="I97" i="15"/>
  <c r="U96" i="15"/>
  <c r="S96" i="15"/>
  <c r="R96" i="15"/>
  <c r="Q96" i="15"/>
  <c r="P96" i="15"/>
  <c r="O96" i="15"/>
  <c r="I96" i="15"/>
  <c r="U95" i="15"/>
  <c r="S95" i="15"/>
  <c r="R95" i="15"/>
  <c r="Q95" i="15"/>
  <c r="P95" i="15"/>
  <c r="O95" i="15"/>
  <c r="I95" i="15"/>
  <c r="AA71" i="15"/>
  <c r="AA70" i="15"/>
  <c r="AA69" i="15"/>
  <c r="U76" i="15"/>
  <c r="S76" i="15"/>
  <c r="R76" i="15"/>
  <c r="Q76" i="15"/>
  <c r="P76" i="15"/>
  <c r="O76" i="15"/>
  <c r="I76" i="15"/>
  <c r="U75" i="15"/>
  <c r="S75" i="15"/>
  <c r="R75" i="15"/>
  <c r="Q75" i="15"/>
  <c r="P75" i="15"/>
  <c r="O75" i="15"/>
  <c r="I75" i="15"/>
  <c r="U74" i="15"/>
  <c r="S74" i="15"/>
  <c r="R74" i="15"/>
  <c r="Q74" i="15"/>
  <c r="P74" i="15"/>
  <c r="O74" i="15"/>
  <c r="I74" i="15"/>
  <c r="U72" i="15"/>
  <c r="T72" i="15"/>
  <c r="X72" i="15" s="1"/>
  <c r="S72" i="15"/>
  <c r="R72" i="15"/>
  <c r="Q72" i="15"/>
  <c r="P72" i="15"/>
  <c r="O72" i="15"/>
  <c r="U71" i="15"/>
  <c r="S71" i="15"/>
  <c r="R71" i="15"/>
  <c r="Q71" i="15"/>
  <c r="P71" i="15"/>
  <c r="O71" i="15"/>
  <c r="I71" i="15"/>
  <c r="U70" i="15"/>
  <c r="S70" i="15"/>
  <c r="R70" i="15"/>
  <c r="Q70" i="15"/>
  <c r="P70" i="15"/>
  <c r="O70" i="15"/>
  <c r="I70" i="15"/>
  <c r="U69" i="15"/>
  <c r="S69" i="15"/>
  <c r="R69" i="15"/>
  <c r="Q69" i="15"/>
  <c r="P69" i="15"/>
  <c r="O69" i="15"/>
  <c r="I69" i="15"/>
  <c r="U68" i="15"/>
  <c r="S68" i="15"/>
  <c r="R68" i="15"/>
  <c r="Q68" i="15"/>
  <c r="P68" i="15"/>
  <c r="O68" i="15"/>
  <c r="I68" i="15"/>
  <c r="U67" i="15"/>
  <c r="S67" i="15"/>
  <c r="R67" i="15"/>
  <c r="Q67" i="15"/>
  <c r="P67" i="15"/>
  <c r="O67" i="15"/>
  <c r="I67" i="15"/>
  <c r="AA45" i="15"/>
  <c r="AA44" i="15"/>
  <c r="AA43" i="15"/>
  <c r="AA42" i="15"/>
  <c r="AA41" i="15"/>
  <c r="AA40" i="15"/>
  <c r="AA39" i="15"/>
  <c r="AA36" i="15"/>
  <c r="AA35" i="15"/>
  <c r="U51" i="15"/>
  <c r="T51" i="15"/>
  <c r="X51" i="15" s="1"/>
  <c r="S51" i="15"/>
  <c r="R51" i="15"/>
  <c r="Q51" i="15"/>
  <c r="P51" i="15"/>
  <c r="O51" i="15"/>
  <c r="U46" i="15"/>
  <c r="S46" i="15"/>
  <c r="R46" i="15"/>
  <c r="Q46" i="15"/>
  <c r="P46" i="15"/>
  <c r="O46" i="15"/>
  <c r="I46" i="15"/>
  <c r="T46" i="15" s="1"/>
  <c r="X46" i="15" s="1"/>
  <c r="U45" i="15"/>
  <c r="S45" i="15"/>
  <c r="R45" i="15"/>
  <c r="Q45" i="15"/>
  <c r="P45" i="15"/>
  <c r="O45" i="15"/>
  <c r="I45" i="15"/>
  <c r="T45" i="15" s="1"/>
  <c r="X45" i="15" s="1"/>
  <c r="U44" i="15"/>
  <c r="S44" i="15"/>
  <c r="R44" i="15"/>
  <c r="Q44" i="15"/>
  <c r="P44" i="15"/>
  <c r="O44" i="15"/>
  <c r="I44" i="15"/>
  <c r="T44" i="15" s="1"/>
  <c r="X44" i="15" s="1"/>
  <c r="U43" i="15"/>
  <c r="S43" i="15"/>
  <c r="R43" i="15"/>
  <c r="Q43" i="15"/>
  <c r="P43" i="15"/>
  <c r="O43" i="15"/>
  <c r="I43" i="15"/>
  <c r="T43" i="15" s="1"/>
  <c r="X43" i="15" s="1"/>
  <c r="U42" i="15"/>
  <c r="S42" i="15"/>
  <c r="R42" i="15"/>
  <c r="Q42" i="15"/>
  <c r="P42" i="15"/>
  <c r="O42" i="15"/>
  <c r="I42" i="15"/>
  <c r="T42" i="15" s="1"/>
  <c r="X42" i="15" s="1"/>
  <c r="U41" i="15"/>
  <c r="R41" i="15"/>
  <c r="Q41" i="15"/>
  <c r="P41" i="15"/>
  <c r="O41" i="15"/>
  <c r="I41" i="15"/>
  <c r="U40" i="15"/>
  <c r="S40" i="15"/>
  <c r="R40" i="15"/>
  <c r="Q40" i="15"/>
  <c r="P40" i="15"/>
  <c r="O40" i="15"/>
  <c r="I40" i="15"/>
  <c r="T40" i="15" s="1"/>
  <c r="X40" i="15" s="1"/>
  <c r="U39" i="15"/>
  <c r="S39" i="15"/>
  <c r="R39" i="15"/>
  <c r="Q39" i="15"/>
  <c r="P39" i="15"/>
  <c r="O39" i="15"/>
  <c r="I39" i="15"/>
  <c r="T39" i="15" s="1"/>
  <c r="X39" i="15" s="1"/>
  <c r="U38" i="15"/>
  <c r="S38" i="15"/>
  <c r="R38" i="15"/>
  <c r="Q38" i="15"/>
  <c r="P38" i="15"/>
  <c r="O38" i="15"/>
  <c r="I38" i="15"/>
  <c r="T38" i="15" s="1"/>
  <c r="X38" i="15" s="1"/>
  <c r="U37" i="15"/>
  <c r="S37" i="15"/>
  <c r="R37" i="15"/>
  <c r="Q37" i="15"/>
  <c r="P37" i="15"/>
  <c r="O37" i="15"/>
  <c r="I37" i="15"/>
  <c r="T37" i="15" s="1"/>
  <c r="X37" i="15" s="1"/>
  <c r="U36" i="15"/>
  <c r="S36" i="15"/>
  <c r="R36" i="15"/>
  <c r="Q36" i="15"/>
  <c r="P36" i="15"/>
  <c r="O36" i="15"/>
  <c r="I36" i="15"/>
  <c r="T36" i="15" s="1"/>
  <c r="X36" i="15" s="1"/>
  <c r="U35" i="15"/>
  <c r="S35" i="15"/>
  <c r="R35" i="15"/>
  <c r="Q35" i="15"/>
  <c r="P35" i="15"/>
  <c r="O35" i="15"/>
  <c r="I35" i="15"/>
  <c r="T35" i="15" s="1"/>
  <c r="X35" i="15" s="1"/>
  <c r="U34" i="15"/>
  <c r="S34" i="15"/>
  <c r="R34" i="15"/>
  <c r="Q34" i="15"/>
  <c r="P34" i="15"/>
  <c r="O34" i="15"/>
  <c r="I34" i="15"/>
  <c r="T34" i="15" s="1"/>
  <c r="X34" i="15" s="1"/>
  <c r="T104" i="15" l="1"/>
  <c r="X104" i="15" s="1"/>
  <c r="AC104" i="15"/>
  <c r="T75" i="15"/>
  <c r="X75" i="15" s="1"/>
  <c r="AC75" i="15"/>
  <c r="T9" i="15"/>
  <c r="X9" i="15" s="1"/>
  <c r="AC9" i="15"/>
  <c r="T10" i="15"/>
  <c r="X10" i="15" s="1"/>
  <c r="AC10" i="15"/>
  <c r="T74" i="15"/>
  <c r="X74" i="15" s="1"/>
  <c r="AC74" i="15"/>
  <c r="T76" i="15"/>
  <c r="X76" i="15" s="1"/>
  <c r="AC76" i="15"/>
  <c r="T13" i="15"/>
  <c r="X13" i="15" s="1"/>
  <c r="AC13" i="15"/>
  <c r="T17" i="15"/>
  <c r="X17" i="15" s="1"/>
  <c r="AC17" i="15"/>
  <c r="T18" i="15"/>
  <c r="X18" i="15" s="1"/>
  <c r="AC18" i="15"/>
  <c r="T19" i="15"/>
  <c r="X19" i="15" s="1"/>
  <c r="AC19" i="15"/>
  <c r="T12" i="15"/>
  <c r="X12" i="15" s="1"/>
  <c r="AC12" i="15"/>
  <c r="T15" i="15"/>
  <c r="X15" i="15" s="1"/>
  <c r="AC15" i="15"/>
  <c r="T14" i="15"/>
  <c r="X14" i="15" s="1"/>
  <c r="AC14" i="15"/>
  <c r="T41" i="15"/>
  <c r="X41" i="15" s="1"/>
  <c r="T69" i="15"/>
  <c r="X69" i="15" s="1"/>
  <c r="AC69" i="15"/>
  <c r="T85" i="15"/>
  <c r="X85" i="15" s="1"/>
  <c r="AC85" i="15"/>
  <c r="T100" i="15"/>
  <c r="X100" i="15" s="1"/>
  <c r="AC100" i="15"/>
  <c r="T97" i="15"/>
  <c r="X97" i="15" s="1"/>
  <c r="AC97" i="15"/>
  <c r="T107" i="15"/>
  <c r="X107" i="15" s="1"/>
  <c r="AC107" i="15"/>
  <c r="T86" i="15"/>
  <c r="X86" i="15" s="1"/>
  <c r="AC86" i="15"/>
  <c r="T71" i="15"/>
  <c r="X71" i="15" s="1"/>
  <c r="AC71" i="15"/>
  <c r="T114" i="15"/>
  <c r="X114" i="15" s="1"/>
  <c r="AC114" i="15"/>
  <c r="T82" i="15"/>
  <c r="X82" i="15" s="1"/>
  <c r="AC82" i="15"/>
  <c r="T109" i="15"/>
  <c r="X109" i="15" s="1"/>
  <c r="AC109" i="15"/>
  <c r="T108" i="15"/>
  <c r="X108" i="15" s="1"/>
  <c r="AC108" i="15"/>
  <c r="T67" i="15"/>
  <c r="X67" i="15" s="1"/>
  <c r="AC67" i="15"/>
  <c r="T117" i="15"/>
  <c r="X117" i="15" s="1"/>
  <c r="AC117" i="15"/>
  <c r="T81" i="15"/>
  <c r="X81" i="15" s="1"/>
  <c r="AC81" i="15"/>
  <c r="T95" i="15"/>
  <c r="X95" i="15" s="1"/>
  <c r="AC95" i="15"/>
  <c r="T116" i="15"/>
  <c r="X116" i="15" s="1"/>
  <c r="AC116" i="15"/>
  <c r="T83" i="15"/>
  <c r="X83" i="15" s="1"/>
  <c r="AC83" i="15"/>
  <c r="T113" i="15"/>
  <c r="X113" i="15" s="1"/>
  <c r="AC113" i="15"/>
  <c r="T68" i="15"/>
  <c r="X68" i="15" s="1"/>
  <c r="AC68" i="15"/>
  <c r="T110" i="15"/>
  <c r="X110" i="15" s="1"/>
  <c r="AC110" i="15"/>
  <c r="T96" i="15"/>
  <c r="X96" i="15" s="1"/>
  <c r="AC96" i="15"/>
  <c r="T111" i="15"/>
  <c r="X111" i="15" s="1"/>
  <c r="AC111" i="15"/>
  <c r="T79" i="15"/>
  <c r="X79" i="15" s="1"/>
  <c r="AC79" i="15"/>
  <c r="T118" i="15"/>
  <c r="X118" i="15" s="1"/>
  <c r="AC118" i="15"/>
  <c r="T70" i="15"/>
  <c r="X70" i="15" s="1"/>
  <c r="AC70" i="15"/>
  <c r="T99" i="15"/>
  <c r="X99" i="15" s="1"/>
  <c r="AC99" i="15"/>
  <c r="T112" i="15"/>
  <c r="X112" i="15" s="1"/>
  <c r="AC112" i="15"/>
  <c r="T80" i="15"/>
  <c r="X80" i="15" s="1"/>
  <c r="AC80" i="15"/>
  <c r="T84" i="15"/>
  <c r="X84" i="15" s="1"/>
  <c r="P84" i="15"/>
  <c r="Q84" i="15"/>
  <c r="R84" i="15"/>
  <c r="S84" i="15"/>
  <c r="O84" i="15"/>
  <c r="AO313" i="22"/>
  <c r="AN313" i="22"/>
  <c r="AN322" i="22"/>
  <c r="AO304" i="22"/>
  <c r="AO322" i="22"/>
  <c r="AN304" i="22"/>
  <c r="AN295" i="22"/>
  <c r="AO295" i="22"/>
  <c r="I98" i="15"/>
  <c r="AC98" i="15" s="1"/>
  <c r="T98" i="15" l="1"/>
  <c r="X98" i="15" s="1"/>
  <c r="AO248" i="22"/>
  <c r="AO249" i="22"/>
  <c r="AO250" i="22"/>
  <c r="AO251" i="22"/>
  <c r="AO252" i="22"/>
  <c r="AO253" i="22"/>
  <c r="AA122" i="15"/>
  <c r="AA123" i="15"/>
  <c r="AA128" i="15"/>
  <c r="AA207" i="15"/>
  <c r="AA209" i="15"/>
  <c r="AA55" i="15"/>
  <c r="AA56" i="15"/>
  <c r="AA144" i="15"/>
  <c r="AA140" i="15"/>
  <c r="U128" i="15" l="1"/>
  <c r="S128" i="15"/>
  <c r="R128" i="15"/>
  <c r="Q128" i="15"/>
  <c r="P128" i="15"/>
  <c r="O128" i="15"/>
  <c r="I128" i="15"/>
  <c r="U123" i="15"/>
  <c r="S123" i="15"/>
  <c r="R123" i="15"/>
  <c r="Q123" i="15"/>
  <c r="P123" i="15"/>
  <c r="O123" i="15"/>
  <c r="I123" i="15"/>
  <c r="U144" i="15"/>
  <c r="S144" i="15"/>
  <c r="R144" i="15"/>
  <c r="Q144" i="15"/>
  <c r="P144" i="15"/>
  <c r="O144" i="15"/>
  <c r="I144" i="15"/>
  <c r="I206" i="15"/>
  <c r="AC206" i="15" s="1"/>
  <c r="U210" i="15"/>
  <c r="S210" i="15"/>
  <c r="R210" i="15"/>
  <c r="Q210" i="15"/>
  <c r="P210" i="15"/>
  <c r="O210" i="15"/>
  <c r="I210" i="15"/>
  <c r="U202" i="15"/>
  <c r="S202" i="15"/>
  <c r="R202" i="15"/>
  <c r="Q202" i="15"/>
  <c r="P202" i="15"/>
  <c r="O202" i="15"/>
  <c r="I202" i="15"/>
  <c r="U204" i="15"/>
  <c r="S204" i="15"/>
  <c r="R204" i="15"/>
  <c r="Q204" i="15"/>
  <c r="P204" i="15"/>
  <c r="O204" i="15"/>
  <c r="I204" i="15"/>
  <c r="U140" i="15"/>
  <c r="S140" i="15"/>
  <c r="R140" i="15"/>
  <c r="Q140" i="15"/>
  <c r="P140" i="15"/>
  <c r="O140" i="15"/>
  <c r="I140" i="15"/>
  <c r="U209" i="15"/>
  <c r="S209" i="15"/>
  <c r="R209" i="15"/>
  <c r="Q209" i="15"/>
  <c r="P209" i="15"/>
  <c r="O209" i="15"/>
  <c r="I209" i="15"/>
  <c r="U208" i="15"/>
  <c r="S208" i="15"/>
  <c r="R208" i="15"/>
  <c r="Q208" i="15"/>
  <c r="P208" i="15"/>
  <c r="O208" i="15"/>
  <c r="I208" i="15"/>
  <c r="U60" i="15"/>
  <c r="S60" i="15"/>
  <c r="R60" i="15"/>
  <c r="Q60" i="15"/>
  <c r="P60" i="15"/>
  <c r="O60" i="15"/>
  <c r="I60" i="15"/>
  <c r="T60" i="15" s="1"/>
  <c r="W60" i="15"/>
  <c r="C40" i="22"/>
  <c r="J403" i="22"/>
  <c r="E403" i="22"/>
  <c r="J343" i="22"/>
  <c r="X340" i="22" s="1"/>
  <c r="E343" i="22"/>
  <c r="W340" i="22" s="1"/>
  <c r="K261" i="22"/>
  <c r="F261" i="22"/>
  <c r="J201" i="22"/>
  <c r="X198" i="22" s="1"/>
  <c r="E201" i="22"/>
  <c r="J141" i="22"/>
  <c r="E141" i="22"/>
  <c r="X28" i="22"/>
  <c r="X27" i="22"/>
  <c r="E74" i="22"/>
  <c r="W71" i="22" s="1"/>
  <c r="J74" i="22"/>
  <c r="X71" i="22" s="1"/>
  <c r="W258" i="22" l="1"/>
  <c r="X258" i="22"/>
  <c r="T209" i="15"/>
  <c r="AC209" i="15"/>
  <c r="T144" i="15"/>
  <c r="AC144" i="15"/>
  <c r="T210" i="15"/>
  <c r="X210" i="15" s="1"/>
  <c r="AC210" i="15"/>
  <c r="T208" i="15"/>
  <c r="AC208" i="15"/>
  <c r="T204" i="15"/>
  <c r="AC204" i="15"/>
  <c r="T128" i="15"/>
  <c r="AC128" i="15"/>
  <c r="T140" i="15"/>
  <c r="AC140" i="15"/>
  <c r="T123" i="15"/>
  <c r="AC123" i="15"/>
  <c r="T202" i="15"/>
  <c r="AC202" i="15"/>
  <c r="W138" i="22"/>
  <c r="D139" i="22"/>
  <c r="X138" i="22"/>
  <c r="W400" i="22"/>
  <c r="X400" i="22"/>
  <c r="W198" i="22"/>
  <c r="B51" i="15" l="1"/>
  <c r="X30" i="22"/>
  <c r="Y30" i="22"/>
  <c r="AC262" i="22"/>
  <c r="I258" i="22"/>
  <c r="U265" i="15"/>
  <c r="S265" i="15"/>
  <c r="R265" i="15"/>
  <c r="Q265" i="15"/>
  <c r="P265" i="15"/>
  <c r="O265" i="15"/>
  <c r="I265" i="15"/>
  <c r="B265" i="15"/>
  <c r="U264" i="15"/>
  <c r="S264" i="15"/>
  <c r="R264" i="15"/>
  <c r="Q264" i="15"/>
  <c r="P264" i="15"/>
  <c r="O264" i="15"/>
  <c r="I264" i="15"/>
  <c r="B264" i="15"/>
  <c r="B263" i="15"/>
  <c r="U263" i="15"/>
  <c r="S263" i="15"/>
  <c r="R263" i="15"/>
  <c r="Q263" i="15"/>
  <c r="P263" i="15"/>
  <c r="O263" i="15"/>
  <c r="I263" i="15"/>
  <c r="I262" i="15"/>
  <c r="X261" i="15"/>
  <c r="AC261" i="22"/>
  <c r="AM254" i="22"/>
  <c r="AK254" i="22"/>
  <c r="AM253" i="22"/>
  <c r="AM252" i="22"/>
  <c r="AM251" i="22"/>
  <c r="AM250" i="22"/>
  <c r="AM249" i="22"/>
  <c r="AM248" i="22"/>
  <c r="D95" i="27"/>
  <c r="D96" i="27"/>
  <c r="D97" i="27"/>
  <c r="D98" i="27"/>
  <c r="D99" i="27"/>
  <c r="D94" i="27"/>
  <c r="I53" i="15"/>
  <c r="X440" i="22"/>
  <c r="W440" i="22"/>
  <c r="X430" i="22"/>
  <c r="W430" i="22"/>
  <c r="X420" i="22"/>
  <c r="W420" i="22"/>
  <c r="X380" i="22"/>
  <c r="W380" i="22"/>
  <c r="X370" i="22"/>
  <c r="W370" i="22"/>
  <c r="X360" i="22"/>
  <c r="W360" i="22"/>
  <c r="X238" i="22"/>
  <c r="W238" i="22"/>
  <c r="X228" i="22"/>
  <c r="W228" i="22"/>
  <c r="X218" i="22"/>
  <c r="W218" i="22"/>
  <c r="AI466" i="22"/>
  <c r="AI465" i="22"/>
  <c r="AI464" i="22"/>
  <c r="AI463" i="22"/>
  <c r="AI462" i="22"/>
  <c r="AI476" i="22"/>
  <c r="AI475" i="22"/>
  <c r="AI474" i="22"/>
  <c r="AI473" i="22"/>
  <c r="AI486" i="22"/>
  <c r="AI484" i="22"/>
  <c r="AI394" i="22"/>
  <c r="AI392" i="22"/>
  <c r="AI444" i="22"/>
  <c r="AI442" i="22"/>
  <c r="AI434" i="22"/>
  <c r="AI432" i="22"/>
  <c r="AI424" i="22"/>
  <c r="AI422" i="22"/>
  <c r="AI414" i="22"/>
  <c r="AI412" i="22"/>
  <c r="AI404" i="22"/>
  <c r="AI402" i="22"/>
  <c r="AI334" i="22"/>
  <c r="AI333" i="22"/>
  <c r="AI332" i="22"/>
  <c r="AI331" i="22"/>
  <c r="AI384" i="22"/>
  <c r="AI383" i="22"/>
  <c r="AI382" i="22"/>
  <c r="AI381" i="22"/>
  <c r="AI374" i="22"/>
  <c r="AI373" i="22"/>
  <c r="AI372" i="22"/>
  <c r="AI371" i="22"/>
  <c r="AI364" i="22"/>
  <c r="AI363" i="22"/>
  <c r="AI362" i="22"/>
  <c r="AI361" i="22"/>
  <c r="AI354" i="22"/>
  <c r="AI353" i="22"/>
  <c r="AI352" i="22"/>
  <c r="AI351" i="22"/>
  <c r="AI65" i="22"/>
  <c r="AI64" i="22"/>
  <c r="AI63" i="22"/>
  <c r="AI62" i="22"/>
  <c r="AI61" i="22"/>
  <c r="AI131" i="22"/>
  <c r="AI130" i="22"/>
  <c r="AI128" i="22"/>
  <c r="AI182" i="22"/>
  <c r="AI181" i="22"/>
  <c r="AI179" i="22"/>
  <c r="AI172" i="22"/>
  <c r="AI171" i="22"/>
  <c r="AI169" i="22"/>
  <c r="AI162" i="22"/>
  <c r="AI161" i="22"/>
  <c r="AI159" i="22"/>
  <c r="AI152" i="22"/>
  <c r="AI151" i="22"/>
  <c r="AI149" i="22"/>
  <c r="AI120" i="22"/>
  <c r="AI119" i="22"/>
  <c r="AI118" i="22"/>
  <c r="AI117" i="22"/>
  <c r="AI116" i="22"/>
  <c r="AI109" i="22"/>
  <c r="AI108" i="22"/>
  <c r="AI107" i="22"/>
  <c r="AI106" i="22"/>
  <c r="AI105" i="22"/>
  <c r="AI98" i="22"/>
  <c r="AI97" i="22"/>
  <c r="AI96" i="22"/>
  <c r="AI95" i="22"/>
  <c r="AI94" i="22"/>
  <c r="AI83" i="22"/>
  <c r="AI87" i="22"/>
  <c r="AI86" i="22"/>
  <c r="AI85" i="22"/>
  <c r="AI84" i="22"/>
  <c r="X410" i="22"/>
  <c r="W410" i="22"/>
  <c r="X350" i="22"/>
  <c r="W350" i="22"/>
  <c r="X208" i="22"/>
  <c r="W208" i="22"/>
  <c r="X178" i="22"/>
  <c r="W178" i="22"/>
  <c r="X168" i="22"/>
  <c r="W168" i="22"/>
  <c r="X158" i="22"/>
  <c r="W158" i="22"/>
  <c r="W148" i="22"/>
  <c r="X148" i="22"/>
  <c r="I320" i="22"/>
  <c r="I311" i="22"/>
  <c r="I302" i="22"/>
  <c r="I293" i="22"/>
  <c r="J447" i="22"/>
  <c r="J446" i="22"/>
  <c r="J445" i="22"/>
  <c r="E447" i="22"/>
  <c r="E446" i="22"/>
  <c r="E445" i="22"/>
  <c r="E437" i="22"/>
  <c r="E436" i="22"/>
  <c r="E435" i="22"/>
  <c r="I440" i="22"/>
  <c r="I430" i="22"/>
  <c r="E427" i="22"/>
  <c r="E426" i="22"/>
  <c r="E425" i="22"/>
  <c r="J427" i="22"/>
  <c r="J426" i="22"/>
  <c r="J425" i="22"/>
  <c r="I420" i="22"/>
  <c r="E417" i="22"/>
  <c r="E416" i="22"/>
  <c r="E415" i="22"/>
  <c r="E414" i="22"/>
  <c r="J417" i="22"/>
  <c r="J416" i="22"/>
  <c r="J415" i="22"/>
  <c r="J414" i="22"/>
  <c r="I410" i="22"/>
  <c r="I380" i="22"/>
  <c r="I370" i="22"/>
  <c r="I360" i="22"/>
  <c r="I350" i="22"/>
  <c r="I238" i="22"/>
  <c r="E235" i="22"/>
  <c r="E234" i="22"/>
  <c r="E233" i="22"/>
  <c r="E232" i="22"/>
  <c r="I228" i="22"/>
  <c r="I218" i="22"/>
  <c r="E225" i="22"/>
  <c r="E224" i="22"/>
  <c r="E223" i="22"/>
  <c r="E222" i="22"/>
  <c r="I208" i="22"/>
  <c r="I178" i="22"/>
  <c r="I168" i="22"/>
  <c r="I158" i="22"/>
  <c r="I148" i="22"/>
  <c r="A422" i="27"/>
  <c r="A421" i="27"/>
  <c r="A420" i="27"/>
  <c r="A419" i="27"/>
  <c r="A415" i="27"/>
  <c r="A414" i="27"/>
  <c r="A413" i="27"/>
  <c r="A412" i="27"/>
  <c r="A408" i="27"/>
  <c r="A407" i="27"/>
  <c r="A406" i="27"/>
  <c r="A405" i="27"/>
  <c r="A404" i="27"/>
  <c r="I115" i="22"/>
  <c r="X115" i="22"/>
  <c r="W115" i="22"/>
  <c r="I104" i="22"/>
  <c r="X104" i="22"/>
  <c r="W104" i="22"/>
  <c r="X93" i="22"/>
  <c r="W93" i="22"/>
  <c r="W82" i="22"/>
  <c r="X82" i="22"/>
  <c r="I82" i="22"/>
  <c r="L287" i="22"/>
  <c r="G287" i="22"/>
  <c r="I287" i="22"/>
  <c r="D287" i="22"/>
  <c r="X33" i="22"/>
  <c r="X32" i="22"/>
  <c r="D401" i="22" s="1"/>
  <c r="X31" i="22"/>
  <c r="D341" i="22" s="1"/>
  <c r="X29" i="22"/>
  <c r="D199" i="22" s="1"/>
  <c r="Y27" i="22"/>
  <c r="I72" i="22" s="1"/>
  <c r="Y28" i="22"/>
  <c r="Y29" i="22"/>
  <c r="I199" i="22" s="1"/>
  <c r="Y31" i="22"/>
  <c r="I341" i="22" s="1"/>
  <c r="Y33" i="22"/>
  <c r="Y32" i="22"/>
  <c r="I401" i="22" s="1"/>
  <c r="I482" i="22"/>
  <c r="I461" i="22"/>
  <c r="I472" i="22"/>
  <c r="A400" i="27"/>
  <c r="A397" i="27"/>
  <c r="A398" i="27"/>
  <c r="A399" i="27"/>
  <c r="I400" i="22"/>
  <c r="I340" i="22"/>
  <c r="A393" i="27"/>
  <c r="A392" i="27"/>
  <c r="A391" i="27"/>
  <c r="A390" i="27"/>
  <c r="A384" i="27"/>
  <c r="A386" i="27"/>
  <c r="A385" i="27"/>
  <c r="A383" i="27"/>
  <c r="A377" i="27"/>
  <c r="A379" i="27"/>
  <c r="A378" i="27"/>
  <c r="A376" i="27"/>
  <c r="B486" i="22"/>
  <c r="B488" i="22"/>
  <c r="B487" i="22"/>
  <c r="B476" i="22"/>
  <c r="B479" i="22"/>
  <c r="B478" i="22"/>
  <c r="B477" i="22"/>
  <c r="B469" i="22"/>
  <c r="B468" i="22"/>
  <c r="B467" i="22"/>
  <c r="AC466" i="22"/>
  <c r="B466" i="22"/>
  <c r="AC465" i="22"/>
  <c r="B465" i="22"/>
  <c r="I71" i="22"/>
  <c r="A372" i="27"/>
  <c r="A371" i="27"/>
  <c r="A370" i="27"/>
  <c r="A369" i="27"/>
  <c r="A368" i="27"/>
  <c r="E86" i="22" s="1"/>
  <c r="K262" i="22" l="1"/>
  <c r="I259" i="22" s="1"/>
  <c r="F262" i="22"/>
  <c r="D259" i="22" s="1"/>
  <c r="T265" i="15"/>
  <c r="X265" i="15" s="1"/>
  <c r="AC265" i="15"/>
  <c r="T264" i="15"/>
  <c r="X264" i="15" s="1"/>
  <c r="AC264" i="15"/>
  <c r="T263" i="15"/>
  <c r="X263" i="15" s="1"/>
  <c r="AC263" i="15"/>
  <c r="I139" i="22"/>
  <c r="K416" i="22"/>
  <c r="F416" i="22"/>
  <c r="K426" i="22"/>
  <c r="F436" i="22"/>
  <c r="K446" i="22"/>
  <c r="F224" i="22"/>
  <c r="F234" i="22"/>
  <c r="D72" i="22"/>
  <c r="F446" i="22"/>
  <c r="F426" i="22"/>
  <c r="J487" i="22"/>
  <c r="E465" i="22"/>
  <c r="J467" i="22"/>
  <c r="J466" i="22"/>
  <c r="E468" i="22"/>
  <c r="J477" i="22"/>
  <c r="E479" i="22"/>
  <c r="E476" i="22"/>
  <c r="E469" i="22"/>
  <c r="J465" i="22"/>
  <c r="E478" i="22"/>
  <c r="E466" i="22"/>
  <c r="J488" i="22"/>
  <c r="K488" i="22" s="1"/>
  <c r="J476" i="22"/>
  <c r="J479" i="22"/>
  <c r="J478" i="22"/>
  <c r="E488" i="22"/>
  <c r="F488" i="22" s="1"/>
  <c r="J468" i="22"/>
  <c r="E486" i="22"/>
  <c r="E467" i="22"/>
  <c r="J486" i="22"/>
  <c r="J469" i="22"/>
  <c r="E487" i="22"/>
  <c r="E477" i="22"/>
  <c r="F465" i="22" l="1"/>
  <c r="AR469" i="22"/>
  <c r="AN469" i="22"/>
  <c r="AN476" i="22"/>
  <c r="AR476" i="22"/>
  <c r="AR479" i="22"/>
  <c r="AN479" i="22"/>
  <c r="AS466" i="22"/>
  <c r="AO466" i="22"/>
  <c r="AS479" i="22"/>
  <c r="AO479" i="22"/>
  <c r="AS469" i="22"/>
  <c r="AO469" i="22"/>
  <c r="AO476" i="22"/>
  <c r="AS476" i="22"/>
  <c r="AR466" i="22"/>
  <c r="AN466" i="22"/>
  <c r="X479" i="22"/>
  <c r="P479" i="22" s="1"/>
  <c r="L467" i="22"/>
  <c r="X476" i="22"/>
  <c r="P476" i="22" s="1"/>
  <c r="X469" i="22"/>
  <c r="P469" i="22" s="1"/>
  <c r="F469" i="22"/>
  <c r="G467" i="22"/>
  <c r="W476" i="22"/>
  <c r="N476" i="22" s="1"/>
  <c r="W479" i="22"/>
  <c r="N479" i="22" s="1"/>
  <c r="F476" i="22"/>
  <c r="K479" i="22"/>
  <c r="K465" i="22"/>
  <c r="F479" i="22"/>
  <c r="W469" i="22"/>
  <c r="N469" i="22" s="1"/>
  <c r="K476" i="22"/>
  <c r="K469" i="22"/>
  <c r="C488" i="22" l="1"/>
  <c r="C489" i="22"/>
  <c r="C487" i="22"/>
  <c r="AJ485" i="22" l="1"/>
  <c r="AK485" i="22"/>
  <c r="AK483" i="22"/>
  <c r="AJ483" i="22"/>
  <c r="AK484" i="22"/>
  <c r="AJ484" i="22"/>
  <c r="H41" i="27" a="1"/>
  <c r="H41" i="27" s="1"/>
  <c r="F235" i="22"/>
  <c r="F225" i="22"/>
  <c r="F222" i="22"/>
  <c r="F232" i="22"/>
  <c r="F414" i="22"/>
  <c r="K447" i="22"/>
  <c r="F447" i="22"/>
  <c r="F437" i="22"/>
  <c r="F427" i="22"/>
  <c r="F417" i="22"/>
  <c r="Y467" i="22" l="1"/>
  <c r="Z467" i="22"/>
  <c r="G233" i="22"/>
  <c r="G223" i="22"/>
  <c r="B59" i="27"/>
  <c r="C59" i="27"/>
  <c r="B60" i="27"/>
  <c r="C60" i="27"/>
  <c r="B61" i="27"/>
  <c r="B62" i="27"/>
  <c r="AI142" i="22"/>
  <c r="AI141" i="22"/>
  <c r="AI139" i="22"/>
  <c r="AI76" i="22"/>
  <c r="AI75" i="22"/>
  <c r="AI74" i="22"/>
  <c r="AI73" i="22"/>
  <c r="AI72" i="22"/>
  <c r="C39" i="22" l="1"/>
  <c r="C43" i="22"/>
  <c r="AI344" i="22"/>
  <c r="AI343" i="22"/>
  <c r="AI342" i="22"/>
  <c r="AI341" i="22"/>
  <c r="C49" i="22" l="1"/>
  <c r="C476" i="22" s="1"/>
  <c r="C41" i="22"/>
  <c r="C48" i="22"/>
  <c r="C466" i="22" s="1"/>
  <c r="C243" i="22"/>
  <c r="C244" i="22"/>
  <c r="C213" i="22"/>
  <c r="C245" i="22"/>
  <c r="C214" i="22"/>
  <c r="C242" i="22"/>
  <c r="C215" i="22"/>
  <c r="C225" i="22"/>
  <c r="C222" i="22"/>
  <c r="C233" i="22"/>
  <c r="AJ230" i="22" s="1"/>
  <c r="C212" i="22"/>
  <c r="C223" i="22"/>
  <c r="C224" i="22"/>
  <c r="C234" i="22"/>
  <c r="AJ231" i="22" s="1"/>
  <c r="C235" i="22"/>
  <c r="AJ232" i="22" s="1"/>
  <c r="C232" i="22"/>
  <c r="AJ229" i="22" s="1"/>
  <c r="P19" i="22"/>
  <c r="AJ221" i="22" l="1"/>
  <c r="C204" i="22"/>
  <c r="AJ220" i="22"/>
  <c r="C203" i="22"/>
  <c r="AJ219" i="22"/>
  <c r="C202" i="22"/>
  <c r="AJ222" i="22"/>
  <c r="C205" i="22"/>
  <c r="C46" i="22"/>
  <c r="C262" i="22"/>
  <c r="C47" i="22"/>
  <c r="C469" i="22"/>
  <c r="AJ466" i="22" s="1"/>
  <c r="C468" i="22"/>
  <c r="AJ465" i="22" s="1"/>
  <c r="C465" i="22"/>
  <c r="AK462" i="22" s="1"/>
  <c r="C467" i="22"/>
  <c r="AJ464" i="22" s="1"/>
  <c r="B261" i="22"/>
  <c r="AJ233" i="22"/>
  <c r="C477" i="22"/>
  <c r="AJ463" i="22"/>
  <c r="AK463" i="22"/>
  <c r="X466" i="22"/>
  <c r="W466" i="22"/>
  <c r="C42" i="22" l="1"/>
  <c r="AJ223" i="22"/>
  <c r="AK464" i="22"/>
  <c r="AJ462" i="22"/>
  <c r="AJ467" i="22" s="1"/>
  <c r="AK466" i="22"/>
  <c r="AK465" i="22"/>
  <c r="C324" i="22"/>
  <c r="C297" i="22"/>
  <c r="C315" i="22"/>
  <c r="C306" i="22"/>
  <c r="AF34" i="22"/>
  <c r="AF33" i="22"/>
  <c r="AK261" i="22"/>
  <c r="AJ261" i="22"/>
  <c r="AJ262" i="22" s="1"/>
  <c r="AI33" i="22" s="1"/>
  <c r="C479" i="22"/>
  <c r="AJ476" i="22" s="1"/>
  <c r="AJ473" i="22"/>
  <c r="C478" i="22"/>
  <c r="AK474" i="22"/>
  <c r="AJ474" i="22"/>
  <c r="N466" i="22"/>
  <c r="P466" i="22"/>
  <c r="C235" i="15"/>
  <c r="C287" i="22" l="1"/>
  <c r="AK467" i="22"/>
  <c r="AK294" i="22"/>
  <c r="AJ294" i="22"/>
  <c r="AK303" i="22"/>
  <c r="AJ303" i="22"/>
  <c r="AK312" i="22"/>
  <c r="AJ312" i="22"/>
  <c r="AJ321" i="22"/>
  <c r="AK321" i="22"/>
  <c r="AK252" i="22"/>
  <c r="AK253" i="22" s="1"/>
  <c r="AK262" i="22"/>
  <c r="AI34" i="22" s="1"/>
  <c r="AJ252" i="22"/>
  <c r="AJ253" i="22" s="1"/>
  <c r="AK476" i="22"/>
  <c r="AK473" i="22"/>
  <c r="AJ475" i="22"/>
  <c r="AJ477" i="22" s="1"/>
  <c r="AK475" i="22"/>
  <c r="AF66" i="22"/>
  <c r="AK477" i="22" l="1"/>
  <c r="D365" i="26"/>
  <c r="D364" i="26"/>
  <c r="E364" i="26" s="1"/>
  <c r="G364" i="26" s="1"/>
  <c r="AZ7" i="22"/>
  <c r="BB9" i="22" s="1"/>
  <c r="BB10" i="22" s="1"/>
  <c r="BB11" i="22" s="1"/>
  <c r="BB12" i="22" s="1"/>
  <c r="BB13" i="22" s="1"/>
  <c r="BB14" i="22" s="1"/>
  <c r="BB15" i="22" s="1"/>
  <c r="BB16" i="22" s="1"/>
  <c r="BB17" i="22" s="1"/>
  <c r="BB18" i="22" s="1"/>
  <c r="B209" i="15"/>
  <c r="B208" i="15"/>
  <c r="B446" i="22"/>
  <c r="B445" i="22"/>
  <c r="B436" i="22"/>
  <c r="J436" i="22" s="1"/>
  <c r="B435" i="22"/>
  <c r="J435" i="22" s="1"/>
  <c r="B426" i="22"/>
  <c r="B425" i="22"/>
  <c r="B416" i="22"/>
  <c r="B415" i="22"/>
  <c r="B387" i="22"/>
  <c r="B386" i="22"/>
  <c r="B385" i="22"/>
  <c r="B384" i="22"/>
  <c r="B377" i="22"/>
  <c r="B376" i="22"/>
  <c r="B375" i="22"/>
  <c r="B374" i="22"/>
  <c r="B367" i="22"/>
  <c r="B366" i="22"/>
  <c r="B365" i="22"/>
  <c r="B364" i="22"/>
  <c r="B357" i="22"/>
  <c r="B356" i="22"/>
  <c r="B355" i="22"/>
  <c r="B354" i="22"/>
  <c r="B324" i="22"/>
  <c r="B315" i="22"/>
  <c r="B306" i="22"/>
  <c r="B297" i="22"/>
  <c r="B245" i="22"/>
  <c r="B244" i="22"/>
  <c r="B243" i="22"/>
  <c r="B242" i="22"/>
  <c r="B80" i="11"/>
  <c r="B235" i="22"/>
  <c r="J235" i="22" s="1"/>
  <c r="B234" i="22"/>
  <c r="J234" i="22" s="1"/>
  <c r="B233" i="22"/>
  <c r="J233" i="22" s="1"/>
  <c r="B232" i="22"/>
  <c r="J232" i="22" s="1"/>
  <c r="B79" i="11"/>
  <c r="B225" i="22"/>
  <c r="J225" i="22" s="1"/>
  <c r="B224" i="22"/>
  <c r="J224" i="22" s="1"/>
  <c r="B223" i="22"/>
  <c r="J223" i="22" s="1"/>
  <c r="B222" i="22"/>
  <c r="B215" i="22"/>
  <c r="B214" i="22"/>
  <c r="B213" i="22"/>
  <c r="B212" i="22"/>
  <c r="E212" i="22" s="1"/>
  <c r="B185" i="22"/>
  <c r="B184" i="22"/>
  <c r="B183" i="22"/>
  <c r="B182" i="22"/>
  <c r="B175" i="22"/>
  <c r="B174" i="22"/>
  <c r="B173" i="22"/>
  <c r="B172" i="22"/>
  <c r="B165" i="22"/>
  <c r="B164" i="22"/>
  <c r="B163" i="22"/>
  <c r="B162" i="22"/>
  <c r="AM159" i="22"/>
  <c r="AM160" i="22"/>
  <c r="AM161" i="22"/>
  <c r="B155" i="22"/>
  <c r="B154" i="22"/>
  <c r="B153" i="22"/>
  <c r="B152" i="22"/>
  <c r="AM149" i="22"/>
  <c r="AM150" i="22"/>
  <c r="AM151" i="22"/>
  <c r="B123" i="22"/>
  <c r="B122" i="22"/>
  <c r="B121" i="22"/>
  <c r="B120" i="22"/>
  <c r="B119" i="22"/>
  <c r="AM116" i="22"/>
  <c r="B112" i="22"/>
  <c r="B111" i="22"/>
  <c r="B110" i="22"/>
  <c r="B109" i="22"/>
  <c r="B108" i="22"/>
  <c r="AM105" i="22"/>
  <c r="B101" i="22"/>
  <c r="B100" i="22"/>
  <c r="B99" i="22"/>
  <c r="B98" i="22"/>
  <c r="B97" i="22"/>
  <c r="AM94" i="22"/>
  <c r="B90" i="22"/>
  <c r="B89" i="22"/>
  <c r="B88" i="22"/>
  <c r="B87" i="22"/>
  <c r="B86" i="22"/>
  <c r="BL52" i="22"/>
  <c r="BV51" i="22" s="1"/>
  <c r="B43" i="15"/>
  <c r="B42" i="15"/>
  <c r="B41" i="15"/>
  <c r="B40" i="15"/>
  <c r="B39" i="15"/>
  <c r="T10" i="2"/>
  <c r="T9" i="2"/>
  <c r="T8" i="2"/>
  <c r="T6" i="2"/>
  <c r="T5" i="2"/>
  <c r="T4" i="2"/>
  <c r="B206" i="15"/>
  <c r="U206" i="15"/>
  <c r="S206" i="15"/>
  <c r="R206" i="15"/>
  <c r="Q206" i="15"/>
  <c r="P206" i="15"/>
  <c r="O206" i="15"/>
  <c r="T206" i="15"/>
  <c r="X206" i="15" s="1"/>
  <c r="B192" i="15"/>
  <c r="Q228" i="15"/>
  <c r="P228" i="15"/>
  <c r="S228" i="15" s="1"/>
  <c r="O228" i="15"/>
  <c r="R228" i="15" s="1"/>
  <c r="U228" i="15" s="1"/>
  <c r="Q227" i="15"/>
  <c r="P227" i="15"/>
  <c r="S227" i="15" s="1"/>
  <c r="O227" i="15"/>
  <c r="R227" i="15" s="1"/>
  <c r="U227" i="15" s="1"/>
  <c r="BL53" i="22"/>
  <c r="BK47" i="22"/>
  <c r="BJ47" i="22"/>
  <c r="BI47" i="22"/>
  <c r="F21" i="22"/>
  <c r="B31" i="15"/>
  <c r="B27" i="15"/>
  <c r="B26" i="15"/>
  <c r="B76" i="22"/>
  <c r="B78" i="22"/>
  <c r="U31" i="15"/>
  <c r="S31" i="15"/>
  <c r="R31" i="15"/>
  <c r="Q31" i="15"/>
  <c r="P31" i="15"/>
  <c r="O31" i="15"/>
  <c r="T31" i="15"/>
  <c r="X31" i="15" s="1"/>
  <c r="P242" i="15"/>
  <c r="Q242" i="15"/>
  <c r="R242" i="15"/>
  <c r="S242" i="15"/>
  <c r="T242" i="15"/>
  <c r="U242" i="15"/>
  <c r="P243" i="15"/>
  <c r="Q243" i="15"/>
  <c r="R243" i="15"/>
  <c r="S243" i="15"/>
  <c r="T243" i="15"/>
  <c r="W534" i="22" s="1"/>
  <c r="U243" i="15"/>
  <c r="AN537" i="22" s="1"/>
  <c r="O242" i="15"/>
  <c r="O243" i="15"/>
  <c r="B405" i="22"/>
  <c r="Y15" i="2"/>
  <c r="AC12" i="2"/>
  <c r="AC11" i="2"/>
  <c r="AC14" i="2"/>
  <c r="C10" i="26"/>
  <c r="AW39" i="22"/>
  <c r="AW22" i="22"/>
  <c r="AW25" i="22" s="1"/>
  <c r="B86" i="15"/>
  <c r="B19" i="15"/>
  <c r="B85" i="15"/>
  <c r="I54" i="15"/>
  <c r="W202" i="15"/>
  <c r="W203" i="15"/>
  <c r="W204" i="15"/>
  <c r="W205" i="15"/>
  <c r="W207" i="15"/>
  <c r="W219" i="15"/>
  <c r="W223" i="15"/>
  <c r="N371" i="26"/>
  <c r="N370" i="26"/>
  <c r="N369" i="26"/>
  <c r="N368" i="26"/>
  <c r="N367" i="26"/>
  <c r="N366" i="26"/>
  <c r="K365" i="26"/>
  <c r="N365" i="26" s="1"/>
  <c r="G365" i="26" l="1"/>
  <c r="G366" i="26" s="1"/>
  <c r="K234" i="22"/>
  <c r="AK231" i="22" s="1"/>
  <c r="BK51" i="22"/>
  <c r="BK41" i="22" s="1"/>
  <c r="BJ51" i="22"/>
  <c r="BJ41" i="22" s="1"/>
  <c r="BK52" i="22"/>
  <c r="BK42" i="22" s="1"/>
  <c r="BJ52" i="22"/>
  <c r="BJ42" i="22" s="1"/>
  <c r="AJ209" i="22"/>
  <c r="J213" i="22"/>
  <c r="L213" i="22" s="1"/>
  <c r="C78" i="11" s="1"/>
  <c r="E213" i="22"/>
  <c r="J214" i="22"/>
  <c r="E214" i="22"/>
  <c r="F214" i="22" s="1"/>
  <c r="J215" i="22"/>
  <c r="K215" i="22" s="1"/>
  <c r="AK212" i="22" s="1"/>
  <c r="E215" i="22"/>
  <c r="F215" i="22" s="1"/>
  <c r="AJ212" i="22" s="1"/>
  <c r="I298" i="22"/>
  <c r="D325" i="22"/>
  <c r="I325" i="22"/>
  <c r="I316" i="22"/>
  <c r="I307" i="22"/>
  <c r="D316" i="22"/>
  <c r="D307" i="22"/>
  <c r="K436" i="22"/>
  <c r="J365" i="22"/>
  <c r="E365" i="22"/>
  <c r="J366" i="22"/>
  <c r="E366" i="22"/>
  <c r="K224" i="22"/>
  <c r="AK221" i="22" s="1"/>
  <c r="E374" i="22"/>
  <c r="J374" i="22"/>
  <c r="E376" i="22"/>
  <c r="J376" i="22"/>
  <c r="K225" i="22"/>
  <c r="AK222" i="22" s="1"/>
  <c r="E375" i="22"/>
  <c r="J375" i="22"/>
  <c r="K232" i="22"/>
  <c r="AK229" i="22"/>
  <c r="E377" i="22"/>
  <c r="J377" i="22"/>
  <c r="L233" i="22"/>
  <c r="AK230" i="22"/>
  <c r="J384" i="22"/>
  <c r="E384" i="22"/>
  <c r="J367" i="22"/>
  <c r="E367" i="22"/>
  <c r="E385" i="22"/>
  <c r="J385" i="22"/>
  <c r="K235" i="22"/>
  <c r="AK232" i="22" s="1"/>
  <c r="E386" i="22"/>
  <c r="J386" i="22"/>
  <c r="E387" i="22"/>
  <c r="J387" i="22"/>
  <c r="L223" i="22"/>
  <c r="AK220" i="22"/>
  <c r="E364" i="22"/>
  <c r="J364" i="22"/>
  <c r="J152" i="22"/>
  <c r="E152" i="22"/>
  <c r="J109" i="22"/>
  <c r="E109" i="22"/>
  <c r="J97" i="22"/>
  <c r="E97" i="22"/>
  <c r="J111" i="22"/>
  <c r="E111" i="22"/>
  <c r="J110" i="22"/>
  <c r="E110" i="22"/>
  <c r="J98" i="22"/>
  <c r="E98" i="22"/>
  <c r="E112" i="22"/>
  <c r="J112" i="22"/>
  <c r="J155" i="22"/>
  <c r="E155" i="22"/>
  <c r="J100" i="22"/>
  <c r="E100" i="22"/>
  <c r="J99" i="22"/>
  <c r="E99" i="22"/>
  <c r="E101" i="22"/>
  <c r="J101" i="22"/>
  <c r="E119" i="22"/>
  <c r="J119" i="22"/>
  <c r="E121" i="22"/>
  <c r="J121" i="22"/>
  <c r="E120" i="22"/>
  <c r="J120" i="22"/>
  <c r="J122" i="22"/>
  <c r="E122" i="22"/>
  <c r="J153" i="22"/>
  <c r="E153" i="22"/>
  <c r="J108" i="22"/>
  <c r="E108" i="22"/>
  <c r="J123" i="22"/>
  <c r="E123" i="22"/>
  <c r="J154" i="22"/>
  <c r="K154" i="22" s="1"/>
  <c r="E154" i="22"/>
  <c r="J87" i="22"/>
  <c r="E87" i="22"/>
  <c r="E245" i="22"/>
  <c r="J245" i="22"/>
  <c r="J86" i="22"/>
  <c r="J88" i="22"/>
  <c r="E88" i="22"/>
  <c r="J90" i="22"/>
  <c r="E90" i="22"/>
  <c r="J89" i="22"/>
  <c r="E89" i="22"/>
  <c r="J242" i="22"/>
  <c r="E242" i="22"/>
  <c r="E243" i="22"/>
  <c r="J243" i="22"/>
  <c r="E244" i="22"/>
  <c r="J244" i="22"/>
  <c r="K244" i="22" s="1"/>
  <c r="C79" i="11"/>
  <c r="E173" i="22"/>
  <c r="J173" i="22"/>
  <c r="J174" i="22"/>
  <c r="K174" i="22" s="1"/>
  <c r="E174" i="22"/>
  <c r="J175" i="22"/>
  <c r="E175" i="22"/>
  <c r="E172" i="22"/>
  <c r="J172" i="22"/>
  <c r="J182" i="22"/>
  <c r="E182" i="22"/>
  <c r="E354" i="22"/>
  <c r="J354" i="22"/>
  <c r="J183" i="22"/>
  <c r="E183" i="22"/>
  <c r="C80" i="11"/>
  <c r="E355" i="22"/>
  <c r="J355" i="22"/>
  <c r="E162" i="22"/>
  <c r="J162" i="22"/>
  <c r="J184" i="22"/>
  <c r="K184" i="22" s="1"/>
  <c r="E184" i="22"/>
  <c r="B424" i="22"/>
  <c r="J222" i="22"/>
  <c r="E356" i="22"/>
  <c r="J356" i="22"/>
  <c r="K356" i="22" s="1"/>
  <c r="J163" i="22"/>
  <c r="E163" i="22"/>
  <c r="J185" i="22"/>
  <c r="E185" i="22"/>
  <c r="E357" i="22"/>
  <c r="J357" i="22"/>
  <c r="J164" i="22"/>
  <c r="K164" i="22" s="1"/>
  <c r="E164" i="22"/>
  <c r="B414" i="22"/>
  <c r="J212" i="22"/>
  <c r="E165" i="22"/>
  <c r="J165" i="22"/>
  <c r="J405" i="22"/>
  <c r="E405" i="22"/>
  <c r="E78" i="22"/>
  <c r="F78" i="22" s="1"/>
  <c r="J78" i="22"/>
  <c r="E76" i="22"/>
  <c r="J76" i="22"/>
  <c r="D298" i="22"/>
  <c r="B434" i="22"/>
  <c r="B444" i="22"/>
  <c r="AW24" i="22"/>
  <c r="C236" i="15"/>
  <c r="AA19" i="2"/>
  <c r="AA18" i="2"/>
  <c r="AA17" i="2"/>
  <c r="AA16" i="2"/>
  <c r="AA15" i="2"/>
  <c r="C238" i="15"/>
  <c r="B238" i="15"/>
  <c r="B236" i="15"/>
  <c r="C237" i="15"/>
  <c r="Y17" i="2"/>
  <c r="Y11" i="2" s="1"/>
  <c r="Y16" i="2"/>
  <c r="Y14" i="2"/>
  <c r="Y13" i="2"/>
  <c r="Y2" i="2" s="1"/>
  <c r="B237" i="15"/>
  <c r="B235" i="15"/>
  <c r="AB14" i="2"/>
  <c r="AB13" i="2"/>
  <c r="AB12" i="2"/>
  <c r="AB11" i="2"/>
  <c r="AC13" i="2"/>
  <c r="AC15" i="2" s="1"/>
  <c r="T20" i="2"/>
  <c r="T21" i="2"/>
  <c r="T22" i="2"/>
  <c r="T23" i="2"/>
  <c r="T24" i="2"/>
  <c r="T25" i="2"/>
  <c r="T26" i="2"/>
  <c r="T27" i="2"/>
  <c r="T19" i="2"/>
  <c r="R21" i="22" l="1"/>
  <c r="Y21" i="22"/>
  <c r="Y14" i="22"/>
  <c r="K214" i="22"/>
  <c r="AK211" i="22" s="1"/>
  <c r="F365" i="26"/>
  <c r="AR385" i="22"/>
  <c r="AN385" i="22"/>
  <c r="AN384" i="22"/>
  <c r="AR384" i="22"/>
  <c r="AR387" i="22"/>
  <c r="AN387" i="22"/>
  <c r="K385" i="22"/>
  <c r="F385" i="22"/>
  <c r="AR375" i="22"/>
  <c r="AN375" i="22"/>
  <c r="AR374" i="22"/>
  <c r="AN374" i="22"/>
  <c r="K375" i="22"/>
  <c r="AN377" i="22"/>
  <c r="AR377" i="22"/>
  <c r="F375" i="22"/>
  <c r="AR367" i="22"/>
  <c r="AN367" i="22"/>
  <c r="AN364" i="22"/>
  <c r="AR364" i="22"/>
  <c r="F365" i="22"/>
  <c r="K365" i="22"/>
  <c r="AN365" i="22"/>
  <c r="AR365" i="22"/>
  <c r="K355" i="22"/>
  <c r="F355" i="22"/>
  <c r="F356" i="22" s="1"/>
  <c r="AN98" i="22"/>
  <c r="AR98" i="22"/>
  <c r="AR120" i="22"/>
  <c r="AN120" i="22"/>
  <c r="AK241" i="22"/>
  <c r="F244" i="22"/>
  <c r="AJ241" i="22" s="1"/>
  <c r="AK240" i="22"/>
  <c r="AJ240" i="22"/>
  <c r="K78" i="22"/>
  <c r="AK210" i="22"/>
  <c r="AJ211" i="22"/>
  <c r="AJ210" i="22"/>
  <c r="G213" i="22"/>
  <c r="B78" i="11" s="1"/>
  <c r="Y8" i="2"/>
  <c r="AA20" i="2"/>
  <c r="AA11" i="2" s="1"/>
  <c r="Y9" i="2"/>
  <c r="Y10" i="2"/>
  <c r="AC9" i="2"/>
  <c r="AC8" i="2"/>
  <c r="F367" i="22"/>
  <c r="K367" i="22"/>
  <c r="K245" i="22"/>
  <c r="AK242" i="22" s="1"/>
  <c r="K387" i="22"/>
  <c r="F245" i="22"/>
  <c r="AJ242" i="22" s="1"/>
  <c r="F376" i="22"/>
  <c r="F386" i="22"/>
  <c r="F374" i="22"/>
  <c r="K377" i="22"/>
  <c r="F384" i="22"/>
  <c r="F377" i="22"/>
  <c r="K242" i="22"/>
  <c r="AK239" i="22"/>
  <c r="K386" i="22"/>
  <c r="K364" i="22"/>
  <c r="AK233" i="22"/>
  <c r="F366" i="22"/>
  <c r="K384" i="22"/>
  <c r="K374" i="22"/>
  <c r="AK209" i="22"/>
  <c r="K222" i="22"/>
  <c r="AK219" i="22"/>
  <c r="AK223" i="22" s="1"/>
  <c r="F364" i="22"/>
  <c r="K366" i="22"/>
  <c r="F242" i="22"/>
  <c r="AJ239" i="22"/>
  <c r="K376" i="22"/>
  <c r="F387" i="22"/>
  <c r="K155" i="22"/>
  <c r="K354" i="22"/>
  <c r="K357" i="22"/>
  <c r="F354" i="22"/>
  <c r="F357" i="22"/>
  <c r="K172" i="22"/>
  <c r="L88" i="22"/>
  <c r="C68" i="11" s="1"/>
  <c r="L153" i="22"/>
  <c r="C73" i="11" s="1"/>
  <c r="F122" i="22"/>
  <c r="L99" i="22"/>
  <c r="C69" i="11" s="1"/>
  <c r="G110" i="22"/>
  <c r="B70" i="11" s="1"/>
  <c r="F172" i="22"/>
  <c r="K122" i="22"/>
  <c r="L110" i="22"/>
  <c r="C70" i="11" s="1"/>
  <c r="F175" i="22"/>
  <c r="F100" i="22"/>
  <c r="F111" i="22"/>
  <c r="K175" i="22"/>
  <c r="F154" i="22"/>
  <c r="K100" i="22"/>
  <c r="K111" i="22"/>
  <c r="F174" i="22"/>
  <c r="L121" i="22"/>
  <c r="C71" i="11" s="1"/>
  <c r="F97" i="22"/>
  <c r="F123" i="22"/>
  <c r="G121" i="22"/>
  <c r="B71" i="11" s="1"/>
  <c r="F155" i="22"/>
  <c r="K97" i="22"/>
  <c r="G99" i="22"/>
  <c r="B69" i="11" s="1"/>
  <c r="K123" i="22"/>
  <c r="K119" i="22"/>
  <c r="F89" i="22"/>
  <c r="F108" i="22"/>
  <c r="F119" i="22"/>
  <c r="K112" i="22"/>
  <c r="K89" i="22"/>
  <c r="K108" i="22"/>
  <c r="K101" i="22"/>
  <c r="F112" i="22"/>
  <c r="F90" i="22"/>
  <c r="F101" i="22"/>
  <c r="F152" i="22"/>
  <c r="K90" i="22"/>
  <c r="G153" i="22"/>
  <c r="B73" i="11" s="1"/>
  <c r="F165" i="22"/>
  <c r="F162" i="22"/>
  <c r="F164" i="22"/>
  <c r="K165" i="22"/>
  <c r="K185" i="22"/>
  <c r="K182" i="22"/>
  <c r="F184" i="22"/>
  <c r="F182" i="22"/>
  <c r="F185" i="22"/>
  <c r="K162" i="22"/>
  <c r="L243" i="22"/>
  <c r="C81" i="11" s="1"/>
  <c r="G243" i="22"/>
  <c r="B81" i="11" s="1"/>
  <c r="E444" i="22"/>
  <c r="J444" i="22"/>
  <c r="E434" i="22"/>
  <c r="J434" i="22"/>
  <c r="E424" i="22"/>
  <c r="J424" i="22"/>
  <c r="G163" i="22"/>
  <c r="B74" i="11" s="1"/>
  <c r="L163" i="22"/>
  <c r="C74" i="11" s="1"/>
  <c r="G183" i="22"/>
  <c r="B76" i="11" s="1"/>
  <c r="L173" i="22"/>
  <c r="C75" i="11" s="1"/>
  <c r="L183" i="22"/>
  <c r="C76" i="11" s="1"/>
  <c r="G173" i="22"/>
  <c r="B75" i="11" s="1"/>
  <c r="C234" i="15"/>
  <c r="E365" i="26"/>
  <c r="AC6" i="2"/>
  <c r="AC7" i="2"/>
  <c r="AA8" i="2" l="1"/>
  <c r="AA10" i="2"/>
  <c r="AA7" i="2"/>
  <c r="AA13" i="2"/>
  <c r="AA12" i="2"/>
  <c r="AK213" i="22"/>
  <c r="AJ213" i="22"/>
  <c r="AA14" i="2"/>
  <c r="AA9" i="2"/>
  <c r="F424" i="22"/>
  <c r="F434" i="22"/>
  <c r="K444" i="22"/>
  <c r="K434" i="22"/>
  <c r="F444" i="22"/>
  <c r="AK243" i="22"/>
  <c r="AJ243" i="22"/>
  <c r="F364" i="26"/>
  <c r="F366" i="26" l="1"/>
  <c r="P21" i="22" l="1"/>
  <c r="Y20" i="22"/>
  <c r="Z20" i="22" s="1"/>
  <c r="Y12" i="22"/>
  <c r="Z12" i="22" s="1"/>
  <c r="AF120" i="11"/>
  <c r="AF112" i="11"/>
  <c r="J111" i="11"/>
  <c r="I119" i="11"/>
  <c r="I120" i="11" s="1"/>
  <c r="I117" i="11"/>
  <c r="I118" i="11" s="1"/>
  <c r="A119" i="11"/>
  <c r="A120" i="11"/>
  <c r="A115" i="11"/>
  <c r="A116" i="11"/>
  <c r="A117" i="11"/>
  <c r="A118" i="11"/>
  <c r="A113" i="11"/>
  <c r="A114" i="11"/>
  <c r="A112" i="11"/>
  <c r="A111" i="11"/>
  <c r="O111" i="11"/>
  <c r="I207" i="15" l="1"/>
  <c r="AC207" i="15" s="1"/>
  <c r="I205" i="15"/>
  <c r="AC205" i="15" s="1"/>
  <c r="I203" i="15"/>
  <c r="AC203" i="15" s="1"/>
  <c r="B205" i="15"/>
  <c r="U205" i="15"/>
  <c r="T205" i="15"/>
  <c r="S205" i="15"/>
  <c r="R205" i="15"/>
  <c r="Q205" i="15"/>
  <c r="P205" i="15"/>
  <c r="O205" i="15"/>
  <c r="I227" i="15"/>
  <c r="I228" i="15"/>
  <c r="I198" i="15"/>
  <c r="T198" i="15" s="1"/>
  <c r="X198" i="15" s="1"/>
  <c r="I199" i="15"/>
  <c r="T199" i="15" s="1"/>
  <c r="X199" i="15" s="1"/>
  <c r="I183" i="15"/>
  <c r="T183" i="15" s="1"/>
  <c r="X183" i="15" s="1"/>
  <c r="I185" i="15"/>
  <c r="T185" i="15" s="1"/>
  <c r="X185" i="15" s="1"/>
  <c r="I158" i="15"/>
  <c r="AC158" i="15" s="1"/>
  <c r="I159" i="15"/>
  <c r="AC159" i="15" s="1"/>
  <c r="I166" i="15"/>
  <c r="AC166" i="15" s="1"/>
  <c r="X144" i="15"/>
  <c r="I148" i="15"/>
  <c r="I87" i="15"/>
  <c r="I88" i="15"/>
  <c r="I92" i="15"/>
  <c r="AC92" i="15" s="1"/>
  <c r="X60" i="15"/>
  <c r="I63" i="15"/>
  <c r="T63" i="15" s="1"/>
  <c r="X63" i="15" s="1"/>
  <c r="I64" i="15"/>
  <c r="T64" i="15" s="1"/>
  <c r="X64" i="15" s="1"/>
  <c r="I194" i="15"/>
  <c r="T194" i="15" s="1"/>
  <c r="X194" i="15" s="1"/>
  <c r="I195" i="15"/>
  <c r="T195" i="15" s="1"/>
  <c r="X195" i="15" s="1"/>
  <c r="O225" i="15"/>
  <c r="P225" i="15"/>
  <c r="Q225" i="15"/>
  <c r="R225" i="15"/>
  <c r="S225" i="15"/>
  <c r="U225" i="15"/>
  <c r="O226" i="15"/>
  <c r="P226" i="15"/>
  <c r="Q226" i="15"/>
  <c r="R226" i="15"/>
  <c r="S226" i="15"/>
  <c r="U226" i="15"/>
  <c r="U224" i="15"/>
  <c r="S224" i="15"/>
  <c r="R224" i="15"/>
  <c r="Q224" i="15"/>
  <c r="P224" i="15"/>
  <c r="B226" i="15"/>
  <c r="B227" i="15"/>
  <c r="B228" i="15"/>
  <c r="B225" i="15"/>
  <c r="B224" i="15"/>
  <c r="I226" i="15"/>
  <c r="T226" i="15" s="1"/>
  <c r="U220" i="15"/>
  <c r="S220" i="15"/>
  <c r="R220" i="15"/>
  <c r="Q220" i="15"/>
  <c r="P220" i="15"/>
  <c r="O220" i="15"/>
  <c r="I220" i="15"/>
  <c r="T220" i="15" s="1"/>
  <c r="X220" i="15" s="1"/>
  <c r="B220" i="15"/>
  <c r="O198" i="15"/>
  <c r="P198" i="15"/>
  <c r="Q198" i="15"/>
  <c r="R198" i="15"/>
  <c r="S198" i="15"/>
  <c r="U198" i="15"/>
  <c r="O199" i="15"/>
  <c r="P199" i="15"/>
  <c r="Q199" i="15"/>
  <c r="R199" i="15"/>
  <c r="S199" i="15"/>
  <c r="U199" i="15"/>
  <c r="B198" i="15"/>
  <c r="B199" i="15"/>
  <c r="X209" i="15"/>
  <c r="O194" i="15"/>
  <c r="P194" i="15"/>
  <c r="Q194" i="15"/>
  <c r="R194" i="15"/>
  <c r="S194" i="15"/>
  <c r="U194" i="15"/>
  <c r="O195" i="15"/>
  <c r="P195" i="15"/>
  <c r="Q195" i="15"/>
  <c r="R195" i="15"/>
  <c r="S195" i="15"/>
  <c r="U195" i="15"/>
  <c r="B194" i="15"/>
  <c r="B195" i="15"/>
  <c r="U193" i="15"/>
  <c r="U207" i="15" s="1"/>
  <c r="S193" i="15"/>
  <c r="S207" i="15" s="1"/>
  <c r="R193" i="15"/>
  <c r="R207" i="15" s="1"/>
  <c r="Q193" i="15"/>
  <c r="Q207" i="15" s="1"/>
  <c r="P193" i="15"/>
  <c r="P207" i="15" s="1"/>
  <c r="O193" i="15"/>
  <c r="O207" i="15" s="1"/>
  <c r="I193" i="15"/>
  <c r="T193" i="15" s="1"/>
  <c r="B193" i="15"/>
  <c r="U191" i="15"/>
  <c r="S191" i="15"/>
  <c r="R191" i="15"/>
  <c r="Q191" i="15"/>
  <c r="P191" i="15"/>
  <c r="O191" i="15"/>
  <c r="I191" i="15"/>
  <c r="T191" i="15" s="1"/>
  <c r="X191" i="15" s="1"/>
  <c r="X205" i="15" s="1"/>
  <c r="B191" i="15"/>
  <c r="B183" i="15"/>
  <c r="B185" i="15"/>
  <c r="B181" i="15"/>
  <c r="B180" i="15"/>
  <c r="B173" i="15"/>
  <c r="B174" i="15"/>
  <c r="B175" i="15"/>
  <c r="B171" i="15"/>
  <c r="B170" i="15"/>
  <c r="U157" i="15"/>
  <c r="S157" i="15"/>
  <c r="R157" i="15"/>
  <c r="Q157" i="15"/>
  <c r="P157" i="15"/>
  <c r="O157" i="15"/>
  <c r="I157" i="15"/>
  <c r="B157" i="15"/>
  <c r="U156" i="15"/>
  <c r="S156" i="15"/>
  <c r="R156" i="15"/>
  <c r="Q156" i="15"/>
  <c r="P156" i="15"/>
  <c r="O156" i="15"/>
  <c r="I156" i="15"/>
  <c r="B156" i="15"/>
  <c r="U155" i="15"/>
  <c r="S155" i="15"/>
  <c r="R155" i="15"/>
  <c r="Q155" i="15"/>
  <c r="P155" i="15"/>
  <c r="O155" i="15"/>
  <c r="I155" i="15"/>
  <c r="B155" i="15"/>
  <c r="O148" i="15"/>
  <c r="P148" i="15"/>
  <c r="Q148" i="15"/>
  <c r="R148" i="15"/>
  <c r="S148" i="15"/>
  <c r="U148" i="15"/>
  <c r="B144" i="15"/>
  <c r="B148" i="15"/>
  <c r="U143" i="15"/>
  <c r="S143" i="15"/>
  <c r="R143" i="15"/>
  <c r="Q143" i="15"/>
  <c r="P143" i="15"/>
  <c r="O143" i="15"/>
  <c r="I143" i="15"/>
  <c r="B143" i="15"/>
  <c r="U142" i="15"/>
  <c r="S142" i="15"/>
  <c r="R142" i="15"/>
  <c r="Q142" i="15"/>
  <c r="P142" i="15"/>
  <c r="O142" i="15"/>
  <c r="I142" i="15"/>
  <c r="B142" i="15"/>
  <c r="B135" i="15"/>
  <c r="B137" i="15"/>
  <c r="B20" i="15"/>
  <c r="B23" i="15"/>
  <c r="B24" i="15"/>
  <c r="B44" i="15"/>
  <c r="B45" i="15"/>
  <c r="B46" i="15"/>
  <c r="B60" i="15"/>
  <c r="B63" i="15"/>
  <c r="B64" i="15"/>
  <c r="B74" i="15"/>
  <c r="B75" i="15"/>
  <c r="B76" i="15"/>
  <c r="B87" i="15"/>
  <c r="B88" i="15"/>
  <c r="B92" i="15"/>
  <c r="B99" i="15"/>
  <c r="B100" i="15"/>
  <c r="B104" i="15"/>
  <c r="B116" i="15"/>
  <c r="B117" i="15"/>
  <c r="B118" i="15"/>
  <c r="B123" i="15"/>
  <c r="B128" i="15"/>
  <c r="B131" i="15"/>
  <c r="B133" i="15"/>
  <c r="B132" i="15"/>
  <c r="X123" i="15"/>
  <c r="X128" i="15"/>
  <c r="U122" i="15"/>
  <c r="S122" i="15"/>
  <c r="R122" i="15"/>
  <c r="Q122" i="15"/>
  <c r="P122" i="15"/>
  <c r="O122" i="15"/>
  <c r="I122" i="15"/>
  <c r="B122" i="15"/>
  <c r="B114" i="15"/>
  <c r="B113" i="15"/>
  <c r="B112" i="15"/>
  <c r="B98" i="15"/>
  <c r="B97" i="15"/>
  <c r="B96" i="15"/>
  <c r="O87" i="15"/>
  <c r="P87" i="15"/>
  <c r="Q87" i="15"/>
  <c r="R87" i="15"/>
  <c r="S87" i="15"/>
  <c r="U87" i="15"/>
  <c r="O88" i="15"/>
  <c r="P88" i="15"/>
  <c r="Q88" i="15"/>
  <c r="R88" i="15"/>
  <c r="S88" i="15"/>
  <c r="U88" i="15"/>
  <c r="O92" i="15"/>
  <c r="P92" i="15"/>
  <c r="Q92" i="15"/>
  <c r="R92" i="15"/>
  <c r="S92" i="15"/>
  <c r="U92" i="15"/>
  <c r="B84" i="15"/>
  <c r="B83" i="15"/>
  <c r="B82" i="15"/>
  <c r="B71" i="15"/>
  <c r="B70" i="15"/>
  <c r="B69" i="15"/>
  <c r="O63" i="15"/>
  <c r="P63" i="15"/>
  <c r="Q63" i="15"/>
  <c r="R63" i="15"/>
  <c r="S63" i="15"/>
  <c r="U63" i="15"/>
  <c r="O64" i="15"/>
  <c r="P64" i="15"/>
  <c r="Q64" i="15"/>
  <c r="R64" i="15"/>
  <c r="S64" i="15"/>
  <c r="U64" i="15"/>
  <c r="U59" i="15"/>
  <c r="S59" i="15"/>
  <c r="R59" i="15"/>
  <c r="Q59" i="15"/>
  <c r="P59" i="15"/>
  <c r="O59" i="15"/>
  <c r="I59" i="15"/>
  <c r="T59" i="15" s="1"/>
  <c r="X59" i="15" s="1"/>
  <c r="B59" i="15"/>
  <c r="U58" i="15"/>
  <c r="S58" i="15"/>
  <c r="R58" i="15"/>
  <c r="Q58" i="15"/>
  <c r="P58" i="15"/>
  <c r="O58" i="15"/>
  <c r="I58" i="15"/>
  <c r="T58" i="15" s="1"/>
  <c r="X58" i="15" s="1"/>
  <c r="B58" i="15"/>
  <c r="U57" i="15"/>
  <c r="S57" i="15"/>
  <c r="R57" i="15"/>
  <c r="Q57" i="15"/>
  <c r="P57" i="15"/>
  <c r="O57" i="15"/>
  <c r="I57" i="15"/>
  <c r="T57" i="15" s="1"/>
  <c r="X57" i="15" s="1"/>
  <c r="B57" i="15"/>
  <c r="B18" i="15"/>
  <c r="B17" i="15"/>
  <c r="B37" i="15"/>
  <c r="B38" i="15"/>
  <c r="T148" i="15" l="1"/>
  <c r="X148" i="15" s="1"/>
  <c r="AC148" i="15"/>
  <c r="T87" i="15"/>
  <c r="X87" i="15" s="1"/>
  <c r="AC87" i="15"/>
  <c r="T143" i="15"/>
  <c r="X143" i="15" s="1"/>
  <c r="AC143" i="15"/>
  <c r="T156" i="15"/>
  <c r="X156" i="15" s="1"/>
  <c r="AC156" i="15"/>
  <c r="T155" i="15"/>
  <c r="X155" i="15" s="1"/>
  <c r="AC155" i="15"/>
  <c r="T142" i="15"/>
  <c r="X142" i="15" s="1"/>
  <c r="AC142" i="15"/>
  <c r="T122" i="15"/>
  <c r="X122" i="15" s="1"/>
  <c r="AC122" i="15"/>
  <c r="T157" i="15"/>
  <c r="X157" i="15" s="1"/>
  <c r="AC157" i="15"/>
  <c r="T92" i="15"/>
  <c r="X92" i="15" s="1"/>
  <c r="T88" i="15"/>
  <c r="X88" i="15" s="1"/>
  <c r="AC88" i="15"/>
  <c r="X193" i="15"/>
  <c r="X207" i="15" s="1"/>
  <c r="T207" i="15"/>
  <c r="T228" i="15"/>
  <c r="X228" i="15" s="1"/>
  <c r="T227" i="15"/>
  <c r="X227" i="15" s="1"/>
  <c r="X226" i="15"/>
  <c r="B342" i="26" l="1"/>
  <c r="C342" i="26"/>
  <c r="B343" i="26"/>
  <c r="C343" i="26"/>
  <c r="B344" i="26"/>
  <c r="C344" i="26"/>
  <c r="B333" i="26"/>
  <c r="C333" i="26"/>
  <c r="B334" i="26"/>
  <c r="C334" i="26"/>
  <c r="B335" i="26"/>
  <c r="C335" i="26"/>
  <c r="B341" i="26"/>
  <c r="C341" i="26"/>
  <c r="C332" i="26"/>
  <c r="B332" i="26"/>
  <c r="B359" i="26"/>
  <c r="C359" i="26"/>
  <c r="B360" i="26"/>
  <c r="C360" i="26"/>
  <c r="B351" i="26"/>
  <c r="C351" i="26"/>
  <c r="B352" i="26"/>
  <c r="C352" i="26"/>
  <c r="B353" i="26"/>
  <c r="C353" i="26"/>
  <c r="B358" i="26"/>
  <c r="C358" i="26"/>
  <c r="C350" i="26"/>
  <c r="B350" i="26"/>
  <c r="B406" i="22"/>
  <c r="P231" i="15"/>
  <c r="Q231" i="15"/>
  <c r="R231" i="15"/>
  <c r="U231" i="15"/>
  <c r="O231" i="15"/>
  <c r="H231" i="15"/>
  <c r="I231" i="15" s="1"/>
  <c r="T231" i="15" s="1"/>
  <c r="J406" i="22" l="1"/>
  <c r="E406" i="22"/>
  <c r="F406" i="22" s="1"/>
  <c r="S231" i="15"/>
  <c r="K406" i="22" l="1"/>
  <c r="C41" i="26"/>
  <c r="C42" i="26"/>
  <c r="C43" i="26"/>
  <c r="C44" i="26"/>
  <c r="C45" i="26"/>
  <c r="C46" i="26"/>
  <c r="C47" i="26"/>
  <c r="B43" i="26"/>
  <c r="B44" i="26"/>
  <c r="B45" i="26"/>
  <c r="B46" i="26"/>
  <c r="B47" i="26"/>
  <c r="B41" i="26"/>
  <c r="C11" i="26"/>
  <c r="C12" i="26"/>
  <c r="C13" i="26"/>
  <c r="C14" i="26"/>
  <c r="C15" i="26"/>
  <c r="C16" i="26"/>
  <c r="C17" i="26"/>
  <c r="B16" i="26"/>
  <c r="B17" i="26"/>
  <c r="AV316" i="22"/>
  <c r="AX316" i="22"/>
  <c r="AV317" i="22"/>
  <c r="AX317" i="22"/>
  <c r="AV319" i="22"/>
  <c r="AX319" i="22"/>
  <c r="AV320" i="22"/>
  <c r="AX320" i="22"/>
  <c r="AV321" i="22"/>
  <c r="AX321" i="22"/>
  <c r="AV322" i="22"/>
  <c r="AX322" i="22"/>
  <c r="AV323" i="22"/>
  <c r="AX323" i="22"/>
  <c r="AV325" i="22"/>
  <c r="AX325" i="22"/>
  <c r="AV307" i="22"/>
  <c r="AX307" i="22"/>
  <c r="AV308" i="22"/>
  <c r="AX308" i="22"/>
  <c r="AV310" i="22"/>
  <c r="AX310" i="22"/>
  <c r="AV311" i="22"/>
  <c r="AX311" i="22"/>
  <c r="AV312" i="22"/>
  <c r="AX312" i="22"/>
  <c r="AV313" i="22"/>
  <c r="AX313" i="22"/>
  <c r="AV314" i="22"/>
  <c r="AX314" i="22"/>
  <c r="AV302" i="22"/>
  <c r="AX302" i="22"/>
  <c r="AV303" i="22"/>
  <c r="AX303" i="22"/>
  <c r="AV304" i="22"/>
  <c r="AX304" i="22"/>
  <c r="AV305" i="22"/>
  <c r="AX305" i="22"/>
  <c r="C26" i="26"/>
  <c r="C27" i="26"/>
  <c r="C28" i="26"/>
  <c r="B27" i="26" l="1"/>
  <c r="B28" i="26"/>
  <c r="B26" i="26"/>
  <c r="B22" i="26"/>
  <c r="B23" i="26"/>
  <c r="B21" i="26"/>
  <c r="C38" i="26"/>
  <c r="C37" i="26"/>
  <c r="C36" i="26"/>
  <c r="C35" i="26"/>
  <c r="AX331" i="22"/>
  <c r="AV331" i="22"/>
  <c r="AT331" i="22"/>
  <c r="AX330" i="22"/>
  <c r="AV330" i="22"/>
  <c r="AT330" i="22"/>
  <c r="AX329" i="22"/>
  <c r="AV329" i="22"/>
  <c r="AT329" i="22"/>
  <c r="AX328" i="22"/>
  <c r="AV328" i="22"/>
  <c r="AX326" i="22"/>
  <c r="AV326" i="22"/>
  <c r="AM329" i="22"/>
  <c r="AM303" i="22"/>
  <c r="AM304" i="22"/>
  <c r="AM302" i="22"/>
  <c r="AM83" i="22"/>
  <c r="AM93" i="22"/>
  <c r="AK102" i="22"/>
  <c r="AM102" i="22"/>
  <c r="AO102" i="22"/>
  <c r="AK103" i="22"/>
  <c r="AM103" i="22"/>
  <c r="AO103" i="22"/>
  <c r="AM104" i="22"/>
  <c r="AK113" i="22"/>
  <c r="AM113" i="22"/>
  <c r="AO113" i="22"/>
  <c r="AK114" i="22"/>
  <c r="AM114" i="22"/>
  <c r="AO114" i="22"/>
  <c r="AM115" i="22"/>
  <c r="AK124" i="22"/>
  <c r="AM124" i="22"/>
  <c r="AO124" i="22"/>
  <c r="AK125" i="22"/>
  <c r="AM125" i="22"/>
  <c r="AO125" i="22"/>
  <c r="AK126" i="22"/>
  <c r="AM126" i="22"/>
  <c r="AO126" i="22"/>
  <c r="AM127" i="22"/>
  <c r="AO127" i="22"/>
  <c r="AM128" i="22"/>
  <c r="AO128" i="22"/>
  <c r="AM129" i="22"/>
  <c r="AO129" i="22"/>
  <c r="AM130" i="22"/>
  <c r="AO130" i="22"/>
  <c r="AM131" i="22"/>
  <c r="AO131" i="22"/>
  <c r="AM132" i="22"/>
  <c r="AO132" i="22"/>
  <c r="AK133" i="22"/>
  <c r="AM133" i="22"/>
  <c r="AO133" i="22"/>
  <c r="AK134" i="22"/>
  <c r="AM134" i="22"/>
  <c r="AK146" i="22"/>
  <c r="AM146" i="22"/>
  <c r="AO146" i="22"/>
  <c r="AM148" i="22"/>
  <c r="AK157" i="22"/>
  <c r="AM157" i="22"/>
  <c r="AO157" i="22"/>
  <c r="AM158" i="22"/>
  <c r="AK166" i="22"/>
  <c r="AM166" i="22"/>
  <c r="AO166" i="22"/>
  <c r="AK167" i="22"/>
  <c r="AM167" i="22"/>
  <c r="AO167" i="22"/>
  <c r="AM168" i="22"/>
  <c r="AM169" i="22"/>
  <c r="AM170" i="22"/>
  <c r="AM171" i="22"/>
  <c r="AK176" i="22"/>
  <c r="AM176" i="22"/>
  <c r="AO176" i="22"/>
  <c r="AK177" i="22"/>
  <c r="AM177" i="22"/>
  <c r="AO177" i="22"/>
  <c r="AM178" i="22"/>
  <c r="AM179" i="22"/>
  <c r="AM180" i="22"/>
  <c r="AK187" i="22"/>
  <c r="AM188" i="22"/>
  <c r="AO188" i="22"/>
  <c r="AM189" i="22"/>
  <c r="AO189" i="22"/>
  <c r="AM190" i="22"/>
  <c r="AO190" i="22"/>
  <c r="AM191" i="22"/>
  <c r="AO191" i="22"/>
  <c r="AM192" i="22"/>
  <c r="AO192" i="22"/>
  <c r="AM193" i="22"/>
  <c r="AO193" i="22"/>
  <c r="AK194" i="22"/>
  <c r="AM194" i="22"/>
  <c r="AK216" i="22"/>
  <c r="AM216" i="22"/>
  <c r="AO216" i="22"/>
  <c r="AK217" i="22"/>
  <c r="AM217" i="22"/>
  <c r="AO217" i="22"/>
  <c r="AM273" i="22"/>
  <c r="AM274" i="22"/>
  <c r="AM275" i="22"/>
  <c r="AM276" i="22"/>
  <c r="AM277" i="22"/>
  <c r="AO329" i="22"/>
  <c r="AM330" i="22"/>
  <c r="AO330" i="22"/>
  <c r="AM331" i="22"/>
  <c r="AO331" i="22"/>
  <c r="AM332" i="22"/>
  <c r="AO332" i="22"/>
  <c r="AM333" i="22"/>
  <c r="AO333" i="22"/>
  <c r="AM334" i="22"/>
  <c r="AO334" i="22"/>
  <c r="AM335" i="22"/>
  <c r="AO335" i="22"/>
  <c r="AM336" i="22"/>
  <c r="AM337" i="22"/>
  <c r="AM338" i="22"/>
  <c r="AM339" i="22"/>
  <c r="AM340" i="22"/>
  <c r="AM341" i="22"/>
  <c r="AM342" i="22"/>
  <c r="AM343" i="22"/>
  <c r="AM348" i="22"/>
  <c r="AO348" i="22"/>
  <c r="AK886" i="22"/>
  <c r="AM886" i="22"/>
  <c r="AO886" i="22"/>
  <c r="AK887" i="22"/>
  <c r="AM887" i="22"/>
  <c r="AO887" i="22"/>
  <c r="AK888" i="22"/>
  <c r="AM888" i="22"/>
  <c r="AO888" i="22"/>
  <c r="AK889" i="22"/>
  <c r="AM889" i="22"/>
  <c r="AO889" i="22"/>
  <c r="AK890" i="22"/>
  <c r="AM890" i="22"/>
  <c r="AO890" i="22"/>
  <c r="AK891" i="22"/>
  <c r="AM891" i="22"/>
  <c r="AO891" i="22"/>
  <c r="AK892" i="22"/>
  <c r="AM892" i="22"/>
  <c r="AO892" i="22"/>
  <c r="AK893" i="22"/>
  <c r="AM893" i="22"/>
  <c r="AO893" i="22"/>
  <c r="AK894" i="22"/>
  <c r="AM894" i="22"/>
  <c r="AO894" i="22"/>
  <c r="AK895" i="22"/>
  <c r="AM895" i="22"/>
  <c r="AO895" i="22"/>
  <c r="AK896" i="22"/>
  <c r="AM896" i="22"/>
  <c r="AO896" i="22"/>
  <c r="AK897" i="22"/>
  <c r="AM897" i="22"/>
  <c r="AO897" i="22"/>
  <c r="AK898" i="22"/>
  <c r="AM898" i="22"/>
  <c r="AO898" i="22"/>
  <c r="AK899" i="22"/>
  <c r="AM899" i="22"/>
  <c r="AO899" i="22"/>
  <c r="AK900" i="22"/>
  <c r="AM900" i="22"/>
  <c r="AO900" i="22"/>
  <c r="AK901" i="22"/>
  <c r="AM901" i="22"/>
  <c r="AO901" i="22"/>
  <c r="AK902" i="22"/>
  <c r="AM902" i="22"/>
  <c r="AO902" i="22"/>
  <c r="AK903" i="22"/>
  <c r="AM903" i="22"/>
  <c r="AO903" i="22"/>
  <c r="AK904" i="22"/>
  <c r="AM904" i="22"/>
  <c r="AO904" i="22"/>
  <c r="AK905" i="22"/>
  <c r="AM905" i="22"/>
  <c r="AO905" i="22"/>
  <c r="AK906" i="22"/>
  <c r="AM906" i="22"/>
  <c r="AO906" i="22"/>
  <c r="AK907" i="22"/>
  <c r="AM907" i="22"/>
  <c r="AO907" i="22"/>
  <c r="AK908" i="22"/>
  <c r="AM908" i="22"/>
  <c r="AO908" i="22"/>
  <c r="AK909" i="22"/>
  <c r="AM909" i="22"/>
  <c r="AO909" i="22"/>
  <c r="AK910" i="22"/>
  <c r="AM910" i="22"/>
  <c r="AO910" i="22"/>
  <c r="AK911" i="22"/>
  <c r="AM911" i="22"/>
  <c r="AO911" i="22"/>
  <c r="AK912" i="22"/>
  <c r="AM912" i="22"/>
  <c r="AO912" i="22"/>
  <c r="AK913" i="22"/>
  <c r="AM913" i="22"/>
  <c r="AO913" i="22"/>
  <c r="B229" i="15"/>
  <c r="C30" i="26" l="1"/>
  <c r="I93" i="22"/>
  <c r="A91" i="11"/>
  <c r="A90" i="11"/>
  <c r="A89" i="11"/>
  <c r="A88" i="11"/>
  <c r="A87" i="11"/>
  <c r="N120" i="11"/>
  <c r="O120" i="11"/>
  <c r="D120" i="11"/>
  <c r="K119" i="11"/>
  <c r="K117" i="11"/>
  <c r="O119" i="11"/>
  <c r="O118" i="11"/>
  <c r="O117" i="11"/>
  <c r="O116" i="11"/>
  <c r="AF118" i="11"/>
  <c r="N118" i="11"/>
  <c r="D118" i="11"/>
  <c r="AF114" i="11"/>
  <c r="N114" i="11"/>
  <c r="D114" i="11"/>
  <c r="D111" i="11"/>
  <c r="D112" i="11"/>
  <c r="D113" i="11"/>
  <c r="N112" i="11"/>
  <c r="N111" i="11"/>
  <c r="N113" i="11"/>
  <c r="K115" i="11"/>
  <c r="K113" i="11"/>
  <c r="O114" i="11"/>
  <c r="O113" i="11"/>
  <c r="O112" i="11"/>
  <c r="B219" i="15"/>
  <c r="P118" i="11" l="1"/>
  <c r="B345" i="22"/>
  <c r="B347" i="22"/>
  <c r="B346" i="22"/>
  <c r="B344" i="22"/>
  <c r="D81" i="11"/>
  <c r="F81" i="11" s="1"/>
  <c r="E81" i="11"/>
  <c r="G81" i="11" s="1"/>
  <c r="D80" i="11"/>
  <c r="F80" i="11" s="1"/>
  <c r="H80" i="11" s="1"/>
  <c r="AC232" i="22" s="1"/>
  <c r="E80" i="11"/>
  <c r="G80" i="11" s="1"/>
  <c r="I80" i="11" s="1"/>
  <c r="AC233" i="22" s="1"/>
  <c r="D79" i="11"/>
  <c r="F79" i="11" s="1"/>
  <c r="H79" i="11" s="1"/>
  <c r="AC222" i="22" s="1"/>
  <c r="E79" i="11"/>
  <c r="G79" i="11" s="1"/>
  <c r="I79" i="11" s="1"/>
  <c r="AC223" i="22" s="1"/>
  <c r="D78" i="11"/>
  <c r="F78" i="11" s="1"/>
  <c r="E78" i="11"/>
  <c r="G78" i="11" s="1"/>
  <c r="A69" i="11"/>
  <c r="I55" i="15"/>
  <c r="I56" i="15"/>
  <c r="I192" i="15"/>
  <c r="I121" i="15"/>
  <c r="AC121" i="15" s="1"/>
  <c r="I141" i="15"/>
  <c r="AC141" i="15" s="1"/>
  <c r="I151" i="15"/>
  <c r="AC151" i="15" s="1"/>
  <c r="I152" i="15"/>
  <c r="AC152" i="15" s="1"/>
  <c r="I153" i="15"/>
  <c r="AC153" i="15" s="1"/>
  <c r="I154" i="15"/>
  <c r="AC154" i="15" s="1"/>
  <c r="I188" i="15"/>
  <c r="I189" i="15"/>
  <c r="I190" i="15"/>
  <c r="I201" i="15"/>
  <c r="I217" i="15"/>
  <c r="I218" i="15"/>
  <c r="I219" i="15"/>
  <c r="T219" i="15" s="1"/>
  <c r="I221" i="15"/>
  <c r="I224" i="15"/>
  <c r="T224" i="15" s="1"/>
  <c r="X224" i="15" s="1"/>
  <c r="I225" i="15"/>
  <c r="T225" i="15" s="1"/>
  <c r="X229" i="15"/>
  <c r="B287" i="22"/>
  <c r="J344" i="22" l="1"/>
  <c r="E344" i="22"/>
  <c r="J346" i="22"/>
  <c r="E346" i="22"/>
  <c r="J347" i="22"/>
  <c r="E347" i="22"/>
  <c r="J345" i="22"/>
  <c r="E345" i="22"/>
  <c r="H81" i="11"/>
  <c r="AC242" i="22" s="1"/>
  <c r="I81" i="11"/>
  <c r="AC243" i="22" s="1"/>
  <c r="Z233" i="22"/>
  <c r="Y233" i="22"/>
  <c r="Z223" i="22"/>
  <c r="Y223" i="22"/>
  <c r="H78" i="11"/>
  <c r="AC212" i="22" s="1"/>
  <c r="Y213" i="22" s="1"/>
  <c r="I78" i="11"/>
  <c r="AC213" i="22" s="1"/>
  <c r="I75" i="11"/>
  <c r="AC173" i="22" s="1"/>
  <c r="I74" i="11"/>
  <c r="AC163" i="22" s="1"/>
  <c r="H69" i="11"/>
  <c r="AC97" i="22" s="1"/>
  <c r="I69" i="11"/>
  <c r="AC98" i="22" s="1"/>
  <c r="A74" i="11"/>
  <c r="A81" i="11"/>
  <c r="A68" i="11"/>
  <c r="A80" i="11"/>
  <c r="A73" i="11"/>
  <c r="A71" i="11"/>
  <c r="A76" i="11"/>
  <c r="A78" i="11"/>
  <c r="A85" i="11"/>
  <c r="A75" i="11"/>
  <c r="A83" i="11"/>
  <c r="A79" i="11"/>
  <c r="A86" i="11"/>
  <c r="A70" i="11"/>
  <c r="F347" i="22" l="1"/>
  <c r="F344" i="22"/>
  <c r="K347" i="22"/>
  <c r="K344" i="22"/>
  <c r="F345" i="22"/>
  <c r="F346" i="22" s="1"/>
  <c r="K345" i="22"/>
  <c r="K346" i="22" s="1"/>
  <c r="Y243" i="22"/>
  <c r="Z243" i="22"/>
  <c r="Z213" i="22"/>
  <c r="Z163" i="22"/>
  <c r="Y99" i="22"/>
  <c r="Z99" i="22"/>
  <c r="A84" i="11"/>
  <c r="AF119" i="11"/>
  <c r="K120" i="11"/>
  <c r="D119" i="11"/>
  <c r="AF117" i="11"/>
  <c r="K118" i="11"/>
  <c r="D117" i="11"/>
  <c r="AF113" i="11"/>
  <c r="Z123" i="11"/>
  <c r="X130" i="11" s="1"/>
  <c r="V123" i="11"/>
  <c r="T129" i="11" s="1"/>
  <c r="P123" i="11"/>
  <c r="N130" i="11" s="1"/>
  <c r="K123" i="11"/>
  <c r="I132" i="11" s="1"/>
  <c r="AF111" i="11"/>
  <c r="J92" i="11" l="1"/>
  <c r="X125" i="11"/>
  <c r="N129" i="11"/>
  <c r="AA96" i="11"/>
  <c r="X129" i="11"/>
  <c r="X128" i="11"/>
  <c r="N128" i="11"/>
  <c r="I126" i="11"/>
  <c r="X127" i="11"/>
  <c r="X135" i="11"/>
  <c r="X134" i="11"/>
  <c r="X126" i="11"/>
  <c r="X133" i="11"/>
  <c r="X132" i="11"/>
  <c r="X131" i="11"/>
  <c r="T126" i="11"/>
  <c r="T132" i="11"/>
  <c r="T128" i="11"/>
  <c r="T127" i="11"/>
  <c r="T125" i="11"/>
  <c r="T131" i="11"/>
  <c r="T130" i="11"/>
  <c r="N127" i="11"/>
  <c r="N126" i="11"/>
  <c r="N125" i="11"/>
  <c r="N132" i="11"/>
  <c r="N131" i="11"/>
  <c r="I128" i="11"/>
  <c r="I131" i="11"/>
  <c r="I130" i="11"/>
  <c r="I129" i="11"/>
  <c r="I135" i="11"/>
  <c r="I127" i="11"/>
  <c r="I134" i="11"/>
  <c r="I133" i="11"/>
  <c r="X225" i="15"/>
  <c r="O224" i="15"/>
  <c r="O218" i="15"/>
  <c r="P218" i="15"/>
  <c r="Q218" i="15"/>
  <c r="R218" i="15"/>
  <c r="S218" i="15"/>
  <c r="T218" i="15"/>
  <c r="X218" i="15" s="1"/>
  <c r="U218" i="15"/>
  <c r="O219" i="15"/>
  <c r="P219" i="15"/>
  <c r="Q219" i="15"/>
  <c r="R219" i="15"/>
  <c r="S219" i="15"/>
  <c r="U219" i="15"/>
  <c r="P217" i="15"/>
  <c r="Q217" i="15"/>
  <c r="R217" i="15"/>
  <c r="S217" i="15"/>
  <c r="T217" i="15"/>
  <c r="U217" i="15"/>
  <c r="O217" i="15"/>
  <c r="B218" i="15"/>
  <c r="W133" i="11"/>
  <c r="V146" i="11"/>
  <c r="Q133" i="11"/>
  <c r="U8" i="2"/>
  <c r="Z136" i="11"/>
  <c r="V133" i="11"/>
  <c r="P133" i="11"/>
  <c r="K136" i="11"/>
  <c r="G113" i="11" l="1"/>
  <c r="G111" i="11"/>
  <c r="L119" i="11" a="1"/>
  <c r="L119" i="11" s="1"/>
  <c r="G117" i="11"/>
  <c r="G120" i="11"/>
  <c r="G119" i="11"/>
  <c r="L120" i="11" a="1"/>
  <c r="L120" i="11" s="1"/>
  <c r="L118" i="11" a="1"/>
  <c r="L118" i="11" s="1"/>
  <c r="L112" i="11" a="1"/>
  <c r="L112" i="11" s="1"/>
  <c r="G118" i="11"/>
  <c r="L117" i="11" a="1"/>
  <c r="L117" i="11" s="1"/>
  <c r="L113" i="11" a="1"/>
  <c r="L113" i="11" s="1"/>
  <c r="M113" i="11" s="1"/>
  <c r="Q113" i="11" s="1"/>
  <c r="J80" i="11"/>
  <c r="J79" i="11"/>
  <c r="J69" i="11"/>
  <c r="J81" i="11"/>
  <c r="J78" i="11"/>
  <c r="L135" i="11"/>
  <c r="L134" i="11"/>
  <c r="L133" i="11"/>
  <c r="L132" i="11"/>
  <c r="L131" i="11"/>
  <c r="L130" i="11"/>
  <c r="L129" i="11"/>
  <c r="L128" i="11"/>
  <c r="L127" i="11"/>
  <c r="L126" i="11"/>
  <c r="AA135" i="11"/>
  <c r="AB135" i="11" s="1"/>
  <c r="AA134" i="11"/>
  <c r="AB126" i="11"/>
  <c r="AB127" i="11"/>
  <c r="AB128" i="11"/>
  <c r="AB129" i="11"/>
  <c r="AB130" i="11"/>
  <c r="AB131" i="11"/>
  <c r="AB132" i="11"/>
  <c r="AB133" i="11"/>
  <c r="AB125" i="11"/>
  <c r="B222" i="15"/>
  <c r="B217" i="15"/>
  <c r="S113" i="11" l="1"/>
  <c r="AB134" i="11"/>
  <c r="AA136" i="11"/>
  <c r="L136" i="11"/>
  <c r="Y92" i="22" l="1"/>
  <c r="Y137" i="22"/>
  <c r="X221" i="15" l="1"/>
  <c r="X219" i="15"/>
  <c r="X217" i="15"/>
  <c r="X222" i="15"/>
  <c r="BB59" i="22" l="1"/>
  <c r="X168" i="11"/>
  <c r="X167" i="11"/>
  <c r="X170" i="11"/>
  <c r="V170" i="11"/>
  <c r="V168" i="11"/>
  <c r="V167" i="11"/>
  <c r="O115" i="11"/>
  <c r="K116" i="11"/>
  <c r="J115" i="11"/>
  <c r="J116" i="11" s="1"/>
  <c r="J117" i="11" s="1"/>
  <c r="J118" i="11" s="1"/>
  <c r="J119" i="11" s="1"/>
  <c r="J120" i="11" s="1"/>
  <c r="K114" i="11"/>
  <c r="J113" i="11"/>
  <c r="J114" i="11" s="1"/>
  <c r="K111" i="11"/>
  <c r="K112" i="11" s="1"/>
  <c r="J112" i="11"/>
  <c r="B179" i="15"/>
  <c r="P166" i="15"/>
  <c r="O166" i="15"/>
  <c r="B202" i="15"/>
  <c r="B203" i="15"/>
  <c r="B204" i="15"/>
  <c r="B207" i="15"/>
  <c r="B210" i="15"/>
  <c r="BB60" i="22" l="1"/>
  <c r="L114" i="11" a="1"/>
  <c r="L114" i="11" s="1"/>
  <c r="M114" i="11" s="1"/>
  <c r="Q114" i="11" s="1"/>
  <c r="G114" i="11"/>
  <c r="Z167" i="11"/>
  <c r="Z168" i="11" s="1"/>
  <c r="X171" i="11"/>
  <c r="AB114" i="11"/>
  <c r="AB113" i="11"/>
  <c r="AB111" i="11"/>
  <c r="AB112" i="11"/>
  <c r="P113" i="11"/>
  <c r="P114" i="11"/>
  <c r="T114" i="11" s="1"/>
  <c r="P112" i="11"/>
  <c r="T112" i="11" s="1"/>
  <c r="P111" i="11"/>
  <c r="T111" i="11" s="1"/>
  <c r="I283" i="22"/>
  <c r="B205" i="22"/>
  <c r="B204" i="22"/>
  <c r="B202" i="22"/>
  <c r="J202" i="22" s="1"/>
  <c r="AK199" i="22" s="1"/>
  <c r="AK189" i="22" s="1"/>
  <c r="I198" i="22"/>
  <c r="B203" i="22"/>
  <c r="B145" i="22"/>
  <c r="B144" i="22"/>
  <c r="B143" i="22"/>
  <c r="B142" i="22"/>
  <c r="I138" i="22"/>
  <c r="B79" i="22"/>
  <c r="B77" i="22"/>
  <c r="B75" i="22"/>
  <c r="E75" i="22" s="1"/>
  <c r="J142" i="22" l="1"/>
  <c r="E142" i="22"/>
  <c r="J143" i="22"/>
  <c r="E143" i="22"/>
  <c r="J144" i="22"/>
  <c r="K144" i="22" s="1"/>
  <c r="E144" i="22"/>
  <c r="F144" i="22" s="1"/>
  <c r="E203" i="22"/>
  <c r="J203" i="22"/>
  <c r="E202" i="22"/>
  <c r="J204" i="22"/>
  <c r="K203" i="22" s="1"/>
  <c r="E204" i="22"/>
  <c r="B489" i="22"/>
  <c r="B407" i="22"/>
  <c r="J145" i="22"/>
  <c r="E145" i="22"/>
  <c r="J205" i="22"/>
  <c r="E205" i="22"/>
  <c r="E77" i="22"/>
  <c r="J77" i="22"/>
  <c r="E79" i="22"/>
  <c r="J79" i="22"/>
  <c r="J75" i="22"/>
  <c r="B447" i="22"/>
  <c r="B437" i="22"/>
  <c r="J437" i="22" s="1"/>
  <c r="B427" i="22"/>
  <c r="B417" i="22"/>
  <c r="B404" i="22"/>
  <c r="BB61" i="22"/>
  <c r="A72" i="11"/>
  <c r="T113" i="11"/>
  <c r="U113" i="11" s="1"/>
  <c r="R113" i="11"/>
  <c r="A77" i="11"/>
  <c r="A82" i="11"/>
  <c r="S114" i="11"/>
  <c r="L111" i="11" a="1"/>
  <c r="L111" i="11" s="1"/>
  <c r="M111" i="11" s="1"/>
  <c r="Q111" i="11" s="1"/>
  <c r="AC114" i="11"/>
  <c r="AD114" i="11" s="1"/>
  <c r="AC112" i="11"/>
  <c r="AD112" i="11" s="1"/>
  <c r="R114" i="11"/>
  <c r="R111" i="11"/>
  <c r="R112" i="11"/>
  <c r="B189" i="15"/>
  <c r="B190" i="15"/>
  <c r="B188" i="15"/>
  <c r="B169" i="15"/>
  <c r="B176" i="15"/>
  <c r="B35" i="15"/>
  <c r="B36" i="15"/>
  <c r="B34" i="15"/>
  <c r="B10" i="15"/>
  <c r="B11" i="15"/>
  <c r="B12" i="15"/>
  <c r="B13" i="15"/>
  <c r="B14" i="15"/>
  <c r="B15" i="15"/>
  <c r="B16" i="15"/>
  <c r="B9" i="15"/>
  <c r="B89" i="27" l="1"/>
  <c r="G88" i="22" s="1"/>
  <c r="B68" i="11" s="1"/>
  <c r="D199" i="27"/>
  <c r="D198" i="27"/>
  <c r="D200" i="27"/>
  <c r="D201" i="27"/>
  <c r="B87" i="27"/>
  <c r="B86" i="27"/>
  <c r="L77" i="22" s="1"/>
  <c r="C67" i="11" s="1"/>
  <c r="B88" i="27"/>
  <c r="D195" i="27"/>
  <c r="D190" i="27"/>
  <c r="D194" i="27"/>
  <c r="D193" i="27"/>
  <c r="D192" i="27"/>
  <c r="D196" i="27"/>
  <c r="D191" i="27"/>
  <c r="D202" i="27"/>
  <c r="D197" i="27"/>
  <c r="F203" i="22"/>
  <c r="AJ200" i="22" s="1"/>
  <c r="AJ190" i="22" s="1"/>
  <c r="F79" i="22"/>
  <c r="K79" i="22"/>
  <c r="AK200" i="22"/>
  <c r="AK190" i="22" s="1"/>
  <c r="M467" i="22"/>
  <c r="H467" i="22"/>
  <c r="M487" i="22"/>
  <c r="H487" i="22"/>
  <c r="F204" i="22"/>
  <c r="AJ201" i="22" s="1"/>
  <c r="AJ191" i="22" s="1"/>
  <c r="K437" i="22"/>
  <c r="K204" i="22"/>
  <c r="AK201" i="22" s="1"/>
  <c r="AK191" i="22" s="1"/>
  <c r="AJ199" i="22"/>
  <c r="AJ189" i="22" s="1"/>
  <c r="F205" i="22"/>
  <c r="AJ202" i="22" s="1"/>
  <c r="AJ192" i="22" s="1"/>
  <c r="K205" i="22"/>
  <c r="AK202" i="22" s="1"/>
  <c r="AK192" i="22" s="1"/>
  <c r="J489" i="22"/>
  <c r="AK486" i="22" s="1"/>
  <c r="AK487" i="22" s="1"/>
  <c r="AK452" i="22" s="1"/>
  <c r="AC34" i="22" s="1"/>
  <c r="E489" i="22"/>
  <c r="AJ486" i="22" s="1"/>
  <c r="AJ487" i="22" s="1"/>
  <c r="AJ452" i="22" s="1"/>
  <c r="AC33" i="22" s="1"/>
  <c r="G77" i="22"/>
  <c r="B67" i="11" s="1"/>
  <c r="L203" i="22"/>
  <c r="C77" i="11" s="1"/>
  <c r="G203" i="22"/>
  <c r="G143" i="22"/>
  <c r="B72" i="11" s="1"/>
  <c r="E404" i="22"/>
  <c r="J404" i="22"/>
  <c r="L143" i="22"/>
  <c r="C72" i="11" s="1"/>
  <c r="J407" i="22"/>
  <c r="E407" i="22"/>
  <c r="H75" i="22"/>
  <c r="H405" i="22"/>
  <c r="M77" i="22"/>
  <c r="H203" i="22"/>
  <c r="M75" i="22"/>
  <c r="BB62" i="22"/>
  <c r="BB22" i="22"/>
  <c r="BB24" i="22" s="1"/>
  <c r="M112" i="11"/>
  <c r="Q112" i="11" s="1"/>
  <c r="S117" i="11"/>
  <c r="N119" i="11"/>
  <c r="AB118" i="11"/>
  <c r="M118" i="11"/>
  <c r="Q118" i="11" s="1"/>
  <c r="G112" i="11"/>
  <c r="U114" i="11"/>
  <c r="A67" i="11"/>
  <c r="F86" i="22" l="1"/>
  <c r="F75" i="22"/>
  <c r="K75" i="22"/>
  <c r="K86" i="22"/>
  <c r="B77" i="11"/>
  <c r="W467" i="22"/>
  <c r="N467" i="22" s="1"/>
  <c r="AR467" i="22"/>
  <c r="AN467" i="22"/>
  <c r="X467" i="22"/>
  <c r="P467" i="22" s="1"/>
  <c r="AS467" i="22"/>
  <c r="AO467" i="22"/>
  <c r="AS487" i="22"/>
  <c r="AO487" i="22"/>
  <c r="AR487" i="22"/>
  <c r="AN487" i="22"/>
  <c r="W203" i="22"/>
  <c r="AR203" i="22"/>
  <c r="AN203" i="22"/>
  <c r="AJ193" i="22"/>
  <c r="AJ33" i="22" s="1"/>
  <c r="AK193" i="22"/>
  <c r="AJ34" i="22" s="1"/>
  <c r="AK203" i="22"/>
  <c r="AJ203" i="22"/>
  <c r="D115" i="11"/>
  <c r="D116" i="11"/>
  <c r="BB63" i="22"/>
  <c r="S118" i="11"/>
  <c r="R118" i="11"/>
  <c r="T118" i="11"/>
  <c r="P119" i="11"/>
  <c r="AB119" i="11"/>
  <c r="AC119" i="11" s="1"/>
  <c r="AD119" i="11" s="1"/>
  <c r="M119" i="11"/>
  <c r="Q119" i="11" s="1"/>
  <c r="S111" i="11"/>
  <c r="U111" i="11" s="1"/>
  <c r="S112" i="11"/>
  <c r="U112" i="11" s="1"/>
  <c r="G116" i="11" l="1"/>
  <c r="S116" i="11" s="1"/>
  <c r="G115" i="11"/>
  <c r="S115" i="11" s="1"/>
  <c r="BB64" i="22"/>
  <c r="BB25" i="22"/>
  <c r="U118" i="11"/>
  <c r="S119" i="11"/>
  <c r="R119" i="11"/>
  <c r="T119" i="11"/>
  <c r="M120" i="11"/>
  <c r="Q120" i="11" s="1"/>
  <c r="P120" i="11"/>
  <c r="AB120" i="11"/>
  <c r="AC120" i="11" s="1"/>
  <c r="AD120" i="11" s="1"/>
  <c r="S120" i="11" l="1"/>
  <c r="U120" i="11" s="1"/>
  <c r="U119" i="11"/>
  <c r="T120" i="11"/>
  <c r="R120" i="11"/>
  <c r="X52" i="15" l="1"/>
  <c r="X65" i="15"/>
  <c r="X77" i="15"/>
  <c r="X93" i="15"/>
  <c r="X105" i="15"/>
  <c r="X119" i="15"/>
  <c r="X138" i="15"/>
  <c r="X149" i="15"/>
  <c r="X167" i="15"/>
  <c r="X176" i="15"/>
  <c r="T176" i="15" s="1"/>
  <c r="X186" i="15"/>
  <c r="X196" i="15"/>
  <c r="X200" i="15"/>
  <c r="B54" i="15"/>
  <c r="B55" i="15"/>
  <c r="B56" i="15"/>
  <c r="B67" i="15"/>
  <c r="B68" i="15"/>
  <c r="B79" i="15"/>
  <c r="B80" i="15"/>
  <c r="B81" i="15"/>
  <c r="B95" i="15"/>
  <c r="B107" i="15"/>
  <c r="B108" i="15"/>
  <c r="B109" i="15"/>
  <c r="B110" i="15"/>
  <c r="B111" i="15"/>
  <c r="B121" i="15"/>
  <c r="B140" i="15"/>
  <c r="B141" i="15"/>
  <c r="B151" i="15"/>
  <c r="B152" i="15"/>
  <c r="B153" i="15"/>
  <c r="B154" i="15"/>
  <c r="B158" i="15"/>
  <c r="B159" i="15"/>
  <c r="B166" i="15"/>
  <c r="B178" i="15"/>
  <c r="B53" i="15"/>
  <c r="K6" i="28" l="1"/>
  <c r="R6" i="28" s="1"/>
  <c r="O6" i="28" s="1"/>
  <c r="K7" i="28"/>
  <c r="R7" i="28" s="1"/>
  <c r="O7" i="28" s="1"/>
  <c r="F8" i="28"/>
  <c r="I6" i="28"/>
  <c r="L6" i="28" s="1"/>
  <c r="K8" i="28"/>
  <c r="R8" i="28" s="1"/>
  <c r="O8" i="28" s="1"/>
  <c r="K5" i="28"/>
  <c r="R5" i="28" s="1"/>
  <c r="I7" i="28"/>
  <c r="L7" i="28" s="1"/>
  <c r="F6" i="28"/>
  <c r="F7" i="28"/>
  <c r="I8" i="28"/>
  <c r="L8" i="28" s="1"/>
  <c r="I5" i="28"/>
  <c r="L5" i="28" s="1"/>
  <c r="H509" i="22"/>
  <c r="H511" i="22" s="1"/>
  <c r="F5" i="28"/>
  <c r="M15" i="28"/>
  <c r="W536" i="22"/>
  <c r="AN540" i="22"/>
  <c r="W537" i="22"/>
  <c r="AN539" i="22"/>
  <c r="D238" i="27"/>
  <c r="D312" i="27"/>
  <c r="D311" i="27"/>
  <c r="D310" i="27"/>
  <c r="D323" i="27"/>
  <c r="D355" i="27"/>
  <c r="E342" i="27"/>
  <c r="D342" i="27"/>
  <c r="D274" i="27"/>
  <c r="D291" i="27"/>
  <c r="D257" i="27"/>
  <c r="D112" i="27"/>
  <c r="H77" i="22"/>
  <c r="D239" i="27"/>
  <c r="D241" i="27"/>
  <c r="D240" i="27"/>
  <c r="D315" i="27"/>
  <c r="D314" i="27"/>
  <c r="D313" i="27"/>
  <c r="D309" i="27"/>
  <c r="D356" i="27"/>
  <c r="D357" i="27"/>
  <c r="D358" i="27"/>
  <c r="D326" i="27"/>
  <c r="D325" i="27"/>
  <c r="D324" i="27"/>
  <c r="E343" i="27"/>
  <c r="E344" i="27"/>
  <c r="E345" i="27"/>
  <c r="D343" i="27"/>
  <c r="D344" i="27"/>
  <c r="D345" i="27"/>
  <c r="D276" i="27"/>
  <c r="D277" i="27"/>
  <c r="D275" i="27"/>
  <c r="D294" i="27"/>
  <c r="D293" i="27"/>
  <c r="D292" i="27"/>
  <c r="D290" i="27"/>
  <c r="D260" i="27"/>
  <c r="D256" i="27"/>
  <c r="D259" i="27"/>
  <c r="D258" i="27"/>
  <c r="D221" i="27"/>
  <c r="D222" i="27"/>
  <c r="D223" i="27"/>
  <c r="D114" i="27"/>
  <c r="D115" i="27"/>
  <c r="D113" i="27"/>
  <c r="W261" i="22"/>
  <c r="W260" i="22" s="1"/>
  <c r="H213" i="22"/>
  <c r="M142" i="22"/>
  <c r="D251" i="27"/>
  <c r="D284" i="27"/>
  <c r="D289" i="27"/>
  <c r="D247" i="27"/>
  <c r="K152" i="22" s="1"/>
  <c r="D285" i="27"/>
  <c r="D305" i="27"/>
  <c r="D302" i="27"/>
  <c r="D254" i="27"/>
  <c r="D306" i="27"/>
  <c r="D287" i="27"/>
  <c r="D252" i="27"/>
  <c r="D255" i="27"/>
  <c r="D288" i="27"/>
  <c r="D286" i="27"/>
  <c r="D253" i="27"/>
  <c r="D303" i="27"/>
  <c r="D300" i="27"/>
  <c r="D248" i="27"/>
  <c r="F142" i="22" s="1"/>
  <c r="D283" i="27"/>
  <c r="D249" i="27"/>
  <c r="D304" i="27"/>
  <c r="D250" i="27"/>
  <c r="D307" i="27"/>
  <c r="D301" i="27"/>
  <c r="D308" i="27"/>
  <c r="AS262" i="22"/>
  <c r="AS260" i="22" s="1"/>
  <c r="AU255" i="22" s="1"/>
  <c r="AR262" i="22"/>
  <c r="AR260" i="22" s="1"/>
  <c r="AT254" i="22" s="1"/>
  <c r="AN262" i="22"/>
  <c r="AN260" i="22" s="1"/>
  <c r="AP254" i="22" s="1"/>
  <c r="AO262" i="22"/>
  <c r="AO260" i="22" s="1"/>
  <c r="AQ255" i="22" s="1"/>
  <c r="W237" i="22"/>
  <c r="M101" i="22"/>
  <c r="H306" i="22"/>
  <c r="W306" i="22" s="1"/>
  <c r="H476" i="22"/>
  <c r="M488" i="22"/>
  <c r="H98" i="22"/>
  <c r="W98" i="22" s="1"/>
  <c r="N98" i="22" s="1"/>
  <c r="M87" i="22"/>
  <c r="H163" i="22"/>
  <c r="H223" i="22"/>
  <c r="H465" i="22"/>
  <c r="M466" i="22"/>
  <c r="H264" i="22"/>
  <c r="K264" i="22" s="1"/>
  <c r="H488" i="22"/>
  <c r="AL249" i="22"/>
  <c r="AN249" i="22" s="1"/>
  <c r="H87" i="22"/>
  <c r="M99" i="22"/>
  <c r="M478" i="22"/>
  <c r="Y270" i="22"/>
  <c r="H478" i="22"/>
  <c r="AN478" i="22" s="1"/>
  <c r="M465" i="22"/>
  <c r="H468" i="22"/>
  <c r="H97" i="22"/>
  <c r="AI254" i="22"/>
  <c r="M262" i="22"/>
  <c r="M98" i="22"/>
  <c r="M477" i="22"/>
  <c r="H425" i="22"/>
  <c r="H153" i="22"/>
  <c r="AL248" i="22"/>
  <c r="AN248" i="22" s="1"/>
  <c r="AJ254" i="22"/>
  <c r="AL254" i="22" s="1"/>
  <c r="M476" i="22"/>
  <c r="M479" i="22"/>
  <c r="AL251" i="22"/>
  <c r="AN251" i="22" s="1"/>
  <c r="AL252" i="22"/>
  <c r="AN252" i="22" s="1"/>
  <c r="H415" i="22"/>
  <c r="M108" i="22"/>
  <c r="M100" i="22"/>
  <c r="H262" i="22"/>
  <c r="X269" i="22" s="1"/>
  <c r="H479" i="22"/>
  <c r="H466" i="22"/>
  <c r="X261" i="22"/>
  <c r="H406" i="22"/>
  <c r="H86" i="22"/>
  <c r="M306" i="22"/>
  <c r="X306" i="22" s="1"/>
  <c r="M97" i="22"/>
  <c r="M468" i="22"/>
  <c r="W490" i="22"/>
  <c r="H287" i="22"/>
  <c r="M486" i="22"/>
  <c r="H486" i="22"/>
  <c r="AL250" i="22"/>
  <c r="AN250" i="22" s="1"/>
  <c r="W269" i="22"/>
  <c r="M88" i="22"/>
  <c r="H469" i="22"/>
  <c r="AL253" i="22"/>
  <c r="AN253" i="22" s="1"/>
  <c r="H477" i="22"/>
  <c r="Y269" i="22"/>
  <c r="M264" i="22"/>
  <c r="M86" i="22"/>
  <c r="H88" i="22"/>
  <c r="M469" i="22"/>
  <c r="H489" i="22"/>
  <c r="M489" i="22"/>
  <c r="M110" i="22"/>
  <c r="M324" i="22"/>
  <c r="X324" i="22" s="1"/>
  <c r="M233" i="22"/>
  <c r="H183" i="22"/>
  <c r="H173" i="22"/>
  <c r="H108" i="22"/>
  <c r="M297" i="22"/>
  <c r="X297" i="22" s="1"/>
  <c r="H243" i="22"/>
  <c r="M243" i="22"/>
  <c r="M223" i="22"/>
  <c r="H109" i="22"/>
  <c r="H315" i="22"/>
  <c r="W315" i="22" s="1"/>
  <c r="M119" i="22"/>
  <c r="M173" i="22"/>
  <c r="H233" i="22"/>
  <c r="H120" i="22"/>
  <c r="W120" i="22" s="1"/>
  <c r="N120" i="22" s="1"/>
  <c r="H445" i="22"/>
  <c r="M315" i="22"/>
  <c r="X315" i="22" s="1"/>
  <c r="M121" i="22"/>
  <c r="H435" i="22"/>
  <c r="H119" i="22"/>
  <c r="M109" i="22"/>
  <c r="H324" i="22"/>
  <c r="W324" i="22" s="1"/>
  <c r="M153" i="22"/>
  <c r="H110" i="22"/>
  <c r="H297" i="22"/>
  <c r="W297" i="22" s="1"/>
  <c r="M163" i="22"/>
  <c r="M120" i="22"/>
  <c r="M183" i="22"/>
  <c r="M213" i="22"/>
  <c r="W438" i="22"/>
  <c r="W428" i="22"/>
  <c r="M417" i="22"/>
  <c r="M111" i="22"/>
  <c r="M112" i="22"/>
  <c r="M122" i="22"/>
  <c r="M123" i="22"/>
  <c r="M152" i="22"/>
  <c r="H154" i="22"/>
  <c r="M155" i="22"/>
  <c r="M162" i="22"/>
  <c r="M164" i="22"/>
  <c r="H165" i="22"/>
  <c r="M172" i="22"/>
  <c r="H174" i="22"/>
  <c r="H175" i="22"/>
  <c r="M182" i="22"/>
  <c r="M184" i="22"/>
  <c r="H185" i="22"/>
  <c r="H212" i="22"/>
  <c r="M214" i="22"/>
  <c r="M215" i="22"/>
  <c r="M222" i="22"/>
  <c r="H224" i="22"/>
  <c r="M225" i="22"/>
  <c r="H232" i="22"/>
  <c r="M234" i="22"/>
  <c r="M235" i="22"/>
  <c r="M242" i="22"/>
  <c r="H244" i="22"/>
  <c r="H245" i="22"/>
  <c r="M354" i="22"/>
  <c r="M355" i="22"/>
  <c r="H356" i="22"/>
  <c r="M357" i="22"/>
  <c r="H364" i="22"/>
  <c r="M365" i="22"/>
  <c r="H366" i="22"/>
  <c r="M367" i="22"/>
  <c r="H374" i="22"/>
  <c r="M375" i="22"/>
  <c r="H376" i="22"/>
  <c r="M376" i="22"/>
  <c r="M377" i="22"/>
  <c r="M384" i="22"/>
  <c r="M385" i="22"/>
  <c r="H386" i="22"/>
  <c r="M387" i="22"/>
  <c r="M415" i="22"/>
  <c r="H416" i="22"/>
  <c r="H417" i="22"/>
  <c r="M425" i="22"/>
  <c r="H426" i="22"/>
  <c r="H427" i="22"/>
  <c r="M435" i="22"/>
  <c r="H436" i="22"/>
  <c r="M437" i="22"/>
  <c r="M445" i="22"/>
  <c r="H446" i="22"/>
  <c r="M447" i="22"/>
  <c r="H385" i="22"/>
  <c r="M386" i="22"/>
  <c r="M446" i="22"/>
  <c r="M416" i="22"/>
  <c r="M356" i="22"/>
  <c r="H387" i="22"/>
  <c r="W387" i="22" s="1"/>
  <c r="N387" i="22" s="1"/>
  <c r="M427" i="22"/>
  <c r="H375" i="22"/>
  <c r="H437" i="22"/>
  <c r="H354" i="22"/>
  <c r="H365" i="22"/>
  <c r="M426" i="22"/>
  <c r="M366" i="22"/>
  <c r="M436" i="22"/>
  <c r="M444" i="22"/>
  <c r="H447" i="22"/>
  <c r="H424" i="22"/>
  <c r="H414" i="22"/>
  <c r="H384" i="22"/>
  <c r="M374" i="22"/>
  <c r="H377" i="22"/>
  <c r="W377" i="22" s="1"/>
  <c r="N377" i="22" s="1"/>
  <c r="M364" i="22"/>
  <c r="H367" i="22"/>
  <c r="H355" i="22"/>
  <c r="H357" i="22"/>
  <c r="H222" i="22"/>
  <c r="M245" i="22"/>
  <c r="M244" i="22"/>
  <c r="H242" i="22"/>
  <c r="H214" i="22"/>
  <c r="M224" i="22"/>
  <c r="H235" i="22"/>
  <c r="H234" i="22"/>
  <c r="M232" i="22"/>
  <c r="H182" i="22"/>
  <c r="H225" i="22"/>
  <c r="H184" i="22"/>
  <c r="M212" i="22"/>
  <c r="H215" i="22"/>
  <c r="H164" i="22"/>
  <c r="M174" i="22"/>
  <c r="M185" i="22"/>
  <c r="M175" i="22"/>
  <c r="H172" i="22"/>
  <c r="M165" i="22"/>
  <c r="H162" i="22"/>
  <c r="M154" i="22"/>
  <c r="H152" i="22"/>
  <c r="H155" i="22"/>
  <c r="AJ154" i="22"/>
  <c r="AJ155" i="22"/>
  <c r="H123" i="22"/>
  <c r="H121" i="22"/>
  <c r="H122" i="22"/>
  <c r="H112" i="22"/>
  <c r="H111" i="22"/>
  <c r="H99" i="22"/>
  <c r="H101" i="22"/>
  <c r="H100" i="22"/>
  <c r="M424" i="22"/>
  <c r="H444" i="22"/>
  <c r="M414" i="22"/>
  <c r="H434" i="22"/>
  <c r="M434" i="22"/>
  <c r="M345" i="22"/>
  <c r="H345" i="22"/>
  <c r="H404" i="22"/>
  <c r="M404" i="22"/>
  <c r="M202" i="22"/>
  <c r="M344" i="22"/>
  <c r="M76" i="22"/>
  <c r="H202" i="22"/>
  <c r="H76" i="22"/>
  <c r="H344" i="22"/>
  <c r="H142" i="22"/>
  <c r="AL344" i="22"/>
  <c r="W357" i="22" l="1"/>
  <c r="N357" i="22" s="1"/>
  <c r="AR357" i="22"/>
  <c r="AN357" i="22"/>
  <c r="AR354" i="22"/>
  <c r="AN354" i="22"/>
  <c r="W355" i="22"/>
  <c r="N355" i="22" s="1"/>
  <c r="AN355" i="22"/>
  <c r="AR355" i="22"/>
  <c r="AS477" i="22"/>
  <c r="AO477" i="22"/>
  <c r="X477" i="22"/>
  <c r="P477" i="22" s="1"/>
  <c r="AR477" i="22"/>
  <c r="AN477" i="22"/>
  <c r="AN474" i="22" s="1"/>
  <c r="W477" i="22"/>
  <c r="N477" i="22" s="1"/>
  <c r="AO465" i="22"/>
  <c r="AS465" i="22"/>
  <c r="X465" i="22"/>
  <c r="P465" i="22" s="1"/>
  <c r="AN465" i="22"/>
  <c r="AR465" i="22"/>
  <c r="AN535" i="22"/>
  <c r="O5" i="28"/>
  <c r="T5" i="28"/>
  <c r="W532" i="22"/>
  <c r="AF536" i="22" s="1"/>
  <c r="AG536" i="22" s="1"/>
  <c r="W445" i="22"/>
  <c r="N445" i="22" s="1"/>
  <c r="AR445" i="22"/>
  <c r="AN445" i="22"/>
  <c r="W446" i="22"/>
  <c r="N446" i="22" s="1"/>
  <c r="AR446" i="22"/>
  <c r="AN446" i="22"/>
  <c r="AR444" i="22"/>
  <c r="AN444" i="22"/>
  <c r="W447" i="22"/>
  <c r="N447" i="22" s="1"/>
  <c r="AR447" i="22"/>
  <c r="AN447" i="22"/>
  <c r="X434" i="22"/>
  <c r="P434" i="22" s="1"/>
  <c r="AS434" i="22"/>
  <c r="AO434" i="22"/>
  <c r="X435" i="22"/>
  <c r="P435" i="22" s="1"/>
  <c r="AS435" i="22"/>
  <c r="AO435" i="22"/>
  <c r="X437" i="22"/>
  <c r="P437" i="22" s="1"/>
  <c r="AO437" i="22"/>
  <c r="AS437" i="22"/>
  <c r="X436" i="22"/>
  <c r="P436" i="22" s="1"/>
  <c r="AS436" i="22"/>
  <c r="AO436" i="22"/>
  <c r="AN434" i="22"/>
  <c r="AR434" i="22"/>
  <c r="W435" i="22"/>
  <c r="N435" i="22" s="1"/>
  <c r="AR435" i="22"/>
  <c r="AN435" i="22"/>
  <c r="W437" i="22"/>
  <c r="N437" i="22" s="1"/>
  <c r="AN437" i="22"/>
  <c r="AR437" i="22"/>
  <c r="W436" i="22"/>
  <c r="N436" i="22" s="1"/>
  <c r="AR436" i="22"/>
  <c r="AN436" i="22"/>
  <c r="AR426" i="22"/>
  <c r="AN426" i="22"/>
  <c r="AN424" i="22"/>
  <c r="AR424" i="22"/>
  <c r="AR427" i="22"/>
  <c r="AN427" i="22"/>
  <c r="AR425" i="22"/>
  <c r="AN425" i="22"/>
  <c r="W414" i="22"/>
  <c r="AR414" i="22"/>
  <c r="AN414" i="22"/>
  <c r="W417" i="22"/>
  <c r="N417" i="22" s="1"/>
  <c r="AR417" i="22"/>
  <c r="AN417" i="22"/>
  <c r="W416" i="22"/>
  <c r="N416" i="22" s="1"/>
  <c r="AN416" i="22"/>
  <c r="AR416" i="22"/>
  <c r="AR415" i="22"/>
  <c r="AN415" i="22"/>
  <c r="AS387" i="22"/>
  <c r="AO387" i="22"/>
  <c r="X387" i="22"/>
  <c r="P387" i="22" s="1"/>
  <c r="X385" i="22"/>
  <c r="P385" i="22" s="1"/>
  <c r="AO385" i="22"/>
  <c r="AS385" i="22"/>
  <c r="AS384" i="22"/>
  <c r="AO384" i="22"/>
  <c r="X386" i="22"/>
  <c r="P386" i="22" s="1"/>
  <c r="AO386" i="22"/>
  <c r="AS386" i="22"/>
  <c r="W386" i="22"/>
  <c r="N386" i="22" s="1"/>
  <c r="AR386" i="22"/>
  <c r="AR382" i="22" s="1"/>
  <c r="AN386" i="22"/>
  <c r="AN382" i="22" s="1"/>
  <c r="X376" i="22"/>
  <c r="P376" i="22" s="1"/>
  <c r="AO376" i="22"/>
  <c r="AS376" i="22"/>
  <c r="X375" i="22"/>
  <c r="P375" i="22" s="1"/>
  <c r="AS375" i="22"/>
  <c r="AO375" i="22"/>
  <c r="AS374" i="22"/>
  <c r="AO374" i="22"/>
  <c r="X377" i="22"/>
  <c r="P377" i="22" s="1"/>
  <c r="AS377" i="22"/>
  <c r="AO377" i="22"/>
  <c r="W376" i="22"/>
  <c r="N376" i="22" s="1"/>
  <c r="AN376" i="22"/>
  <c r="AN372" i="22" s="1"/>
  <c r="AR376" i="22"/>
  <c r="AR372" i="22" s="1"/>
  <c r="AO365" i="22"/>
  <c r="AS365" i="22"/>
  <c r="X364" i="22"/>
  <c r="P364" i="22" s="1"/>
  <c r="AO364" i="22"/>
  <c r="AS364" i="22"/>
  <c r="X367" i="22"/>
  <c r="P367" i="22" s="1"/>
  <c r="AO367" i="22"/>
  <c r="AS367" i="22"/>
  <c r="X366" i="22"/>
  <c r="P366" i="22" s="1"/>
  <c r="AO366" i="22"/>
  <c r="AS366" i="22"/>
  <c r="W366" i="22"/>
  <c r="N366" i="22" s="1"/>
  <c r="AR366" i="22"/>
  <c r="AR362" i="22" s="1"/>
  <c r="AN366" i="22"/>
  <c r="AN362" i="22" s="1"/>
  <c r="X357" i="22"/>
  <c r="P357" i="22" s="1"/>
  <c r="AS357" i="22"/>
  <c r="AO357" i="22"/>
  <c r="X355" i="22"/>
  <c r="P355" i="22" s="1"/>
  <c r="AO355" i="22"/>
  <c r="AS355" i="22"/>
  <c r="AS354" i="22"/>
  <c r="AO354" i="22"/>
  <c r="X245" i="22"/>
  <c r="P245" i="22" s="1"/>
  <c r="AS245" i="22"/>
  <c r="AO245" i="22"/>
  <c r="X243" i="22"/>
  <c r="P243" i="22" s="1"/>
  <c r="AS243" i="22"/>
  <c r="AO243" i="22"/>
  <c r="X242" i="22"/>
  <c r="AO242" i="22"/>
  <c r="AS242" i="22"/>
  <c r="X244" i="22"/>
  <c r="P244" i="22" s="1"/>
  <c r="AS244" i="22"/>
  <c r="AO244" i="22"/>
  <c r="AN244" i="22"/>
  <c r="AR244" i="22"/>
  <c r="W243" i="22"/>
  <c r="N243" i="22" s="1"/>
  <c r="AR243" i="22"/>
  <c r="AN243" i="22"/>
  <c r="AR245" i="22"/>
  <c r="AN245" i="22"/>
  <c r="AR242" i="22"/>
  <c r="AN242" i="22"/>
  <c r="X233" i="22"/>
  <c r="P233" i="22" s="1"/>
  <c r="AO233" i="22"/>
  <c r="AS233" i="22"/>
  <c r="X232" i="22"/>
  <c r="P232" i="22" s="1"/>
  <c r="AO232" i="22"/>
  <c r="AS232" i="22"/>
  <c r="X235" i="22"/>
  <c r="P235" i="22" s="1"/>
  <c r="AS235" i="22"/>
  <c r="AO235" i="22"/>
  <c r="X234" i="22"/>
  <c r="P234" i="22" s="1"/>
  <c r="AO234" i="22"/>
  <c r="AS234" i="22"/>
  <c r="W233" i="22"/>
  <c r="N233" i="22" s="1"/>
  <c r="AR233" i="22"/>
  <c r="AN233" i="22"/>
  <c r="AR234" i="22"/>
  <c r="AN234" i="22"/>
  <c r="AN235" i="22"/>
  <c r="AR235" i="22"/>
  <c r="AN232" i="22"/>
  <c r="AR232" i="22"/>
  <c r="AR222" i="22"/>
  <c r="AN222" i="22"/>
  <c r="AR224" i="22"/>
  <c r="AN224" i="22"/>
  <c r="AN223" i="22"/>
  <c r="AR223" i="22"/>
  <c r="AR225" i="22"/>
  <c r="AN225" i="22"/>
  <c r="AN213" i="22"/>
  <c r="W213" i="22"/>
  <c r="N213" i="22" s="1"/>
  <c r="AR213" i="22"/>
  <c r="W185" i="22"/>
  <c r="N185" i="22" s="1"/>
  <c r="AN185" i="22"/>
  <c r="AR185" i="22"/>
  <c r="W184" i="22"/>
  <c r="N184" i="22" s="1"/>
  <c r="AN184" i="22"/>
  <c r="AR184" i="22"/>
  <c r="AN182" i="22"/>
  <c r="AR182" i="22"/>
  <c r="AR183" i="22"/>
  <c r="AN183" i="22"/>
  <c r="W175" i="22"/>
  <c r="N175" i="22" s="1"/>
  <c r="AN175" i="22"/>
  <c r="AR175" i="22"/>
  <c r="AR172" i="22"/>
  <c r="AN172" i="22"/>
  <c r="W174" i="22"/>
  <c r="N174" i="22" s="1"/>
  <c r="AN174" i="22"/>
  <c r="AR174" i="22"/>
  <c r="AN173" i="22"/>
  <c r="AR173" i="22"/>
  <c r="AN165" i="22"/>
  <c r="AR165" i="22"/>
  <c r="W164" i="22"/>
  <c r="N164" i="22" s="1"/>
  <c r="AN164" i="22"/>
  <c r="AR164" i="22"/>
  <c r="AR163" i="22"/>
  <c r="AN163" i="22"/>
  <c r="AR162" i="22"/>
  <c r="AN162" i="22"/>
  <c r="AN155" i="22"/>
  <c r="AR155" i="22"/>
  <c r="AR152" i="22"/>
  <c r="AN152" i="22"/>
  <c r="W154" i="22"/>
  <c r="N154" i="22" s="1"/>
  <c r="AR154" i="22"/>
  <c r="AN154" i="22"/>
  <c r="AN153" i="22"/>
  <c r="AR153" i="22"/>
  <c r="AN119" i="22"/>
  <c r="AR119" i="22"/>
  <c r="W121" i="22"/>
  <c r="N121" i="22" s="1"/>
  <c r="AR121" i="22"/>
  <c r="AN121" i="22"/>
  <c r="W123" i="22"/>
  <c r="N123" i="22" s="1"/>
  <c r="AR123" i="22"/>
  <c r="AN123" i="22"/>
  <c r="W122" i="22"/>
  <c r="N122" i="22" s="1"/>
  <c r="AN122" i="22"/>
  <c r="AR122" i="22"/>
  <c r="AN100" i="22"/>
  <c r="AR100" i="22"/>
  <c r="AN99" i="22"/>
  <c r="AR99" i="22"/>
  <c r="AN101" i="22"/>
  <c r="AR101" i="22"/>
  <c r="AR97" i="22"/>
  <c r="AN97" i="22"/>
  <c r="X184" i="22"/>
  <c r="P184" i="22" s="1"/>
  <c r="AS184" i="22"/>
  <c r="AO184" i="22"/>
  <c r="AS182" i="22"/>
  <c r="AO182" i="22"/>
  <c r="AS183" i="22"/>
  <c r="AO183" i="22"/>
  <c r="X185" i="22"/>
  <c r="P185" i="22" s="1"/>
  <c r="AO185" i="22"/>
  <c r="AS185" i="22"/>
  <c r="X174" i="22"/>
  <c r="P174" i="22" s="1"/>
  <c r="AS174" i="22"/>
  <c r="AO174" i="22"/>
  <c r="AO173" i="22"/>
  <c r="AS173" i="22"/>
  <c r="X175" i="22"/>
  <c r="P175" i="22" s="1"/>
  <c r="AO175" i="22"/>
  <c r="AS175" i="22"/>
  <c r="AO172" i="22"/>
  <c r="AS172" i="22"/>
  <c r="X120" i="22"/>
  <c r="P120" i="22" s="1"/>
  <c r="AS120" i="22"/>
  <c r="AO120" i="22"/>
  <c r="X123" i="22"/>
  <c r="P123" i="22" s="1"/>
  <c r="AS123" i="22"/>
  <c r="AO123" i="22"/>
  <c r="X109" i="22"/>
  <c r="P109" i="22" s="1"/>
  <c r="AS109" i="22"/>
  <c r="AO109" i="22"/>
  <c r="X112" i="22"/>
  <c r="P112" i="22" s="1"/>
  <c r="AS112" i="22"/>
  <c r="AO112" i="22"/>
  <c r="AS163" i="22"/>
  <c r="AO163" i="22"/>
  <c r="AS162" i="22"/>
  <c r="AO162" i="22"/>
  <c r="X165" i="22"/>
  <c r="P165" i="22" s="1"/>
  <c r="AS165" i="22"/>
  <c r="AO165" i="22"/>
  <c r="AS164" i="22"/>
  <c r="AO164" i="22"/>
  <c r="AS108" i="22"/>
  <c r="AO108" i="22"/>
  <c r="X110" i="22"/>
  <c r="P110" i="22" s="1"/>
  <c r="AO110" i="22"/>
  <c r="AS110" i="22"/>
  <c r="X111" i="22"/>
  <c r="P111" i="22" s="1"/>
  <c r="AO111" i="22"/>
  <c r="AS111" i="22"/>
  <c r="X223" i="22"/>
  <c r="P223" i="22" s="1"/>
  <c r="AS223" i="22"/>
  <c r="AO223" i="22"/>
  <c r="X225" i="22"/>
  <c r="P225" i="22" s="1"/>
  <c r="AO225" i="22"/>
  <c r="AS225" i="22"/>
  <c r="X222" i="22"/>
  <c r="P222" i="22" s="1"/>
  <c r="AO222" i="22"/>
  <c r="AS222" i="22"/>
  <c r="X224" i="22"/>
  <c r="P224" i="22" s="1"/>
  <c r="AO224" i="22"/>
  <c r="AS224" i="22"/>
  <c r="X446" i="22"/>
  <c r="P446" i="22" s="1"/>
  <c r="AS446" i="22"/>
  <c r="AO446" i="22"/>
  <c r="X445" i="22"/>
  <c r="P445" i="22" s="1"/>
  <c r="AO445" i="22"/>
  <c r="AS445" i="22"/>
  <c r="X444" i="22"/>
  <c r="AO444" i="22"/>
  <c r="AS444" i="22"/>
  <c r="X447" i="22"/>
  <c r="P447" i="22" s="1"/>
  <c r="AO447" i="22"/>
  <c r="AS447" i="22"/>
  <c r="AN108" i="22"/>
  <c r="AR108" i="22"/>
  <c r="W112" i="22"/>
  <c r="N112" i="22" s="1"/>
  <c r="AN112" i="22"/>
  <c r="AR112" i="22"/>
  <c r="W110" i="22"/>
  <c r="N110" i="22" s="1"/>
  <c r="AN110" i="22"/>
  <c r="AR110" i="22"/>
  <c r="W111" i="22"/>
  <c r="N111" i="22" s="1"/>
  <c r="AR111" i="22"/>
  <c r="AN111" i="22"/>
  <c r="W109" i="22"/>
  <c r="N109" i="22" s="1"/>
  <c r="AR109" i="22"/>
  <c r="AN109" i="22"/>
  <c r="F404" i="22"/>
  <c r="K142" i="22"/>
  <c r="K417" i="22"/>
  <c r="K427" i="22"/>
  <c r="F486" i="22"/>
  <c r="AR486" i="22" s="1"/>
  <c r="K212" i="22"/>
  <c r="AS212" i="22" s="1"/>
  <c r="K486" i="22"/>
  <c r="AS486" i="22" s="1"/>
  <c r="F212" i="22"/>
  <c r="AR212" i="22" s="1"/>
  <c r="K414" i="22"/>
  <c r="AS414" i="22" s="1"/>
  <c r="K424" i="22"/>
  <c r="AS424" i="22" s="1"/>
  <c r="K202" i="22"/>
  <c r="AS202" i="22" s="1"/>
  <c r="F202" i="22"/>
  <c r="AR202" i="22" s="1"/>
  <c r="K404" i="22"/>
  <c r="F145" i="22"/>
  <c r="F489" i="22"/>
  <c r="AR489" i="22" s="1"/>
  <c r="K489" i="22"/>
  <c r="AO489" i="22" s="1"/>
  <c r="F407" i="22"/>
  <c r="K145" i="22"/>
  <c r="K407" i="22"/>
  <c r="AS98" i="22"/>
  <c r="AO98" i="22"/>
  <c r="X98" i="22"/>
  <c r="P98" i="22" s="1"/>
  <c r="AS122" i="22"/>
  <c r="AS121" i="22"/>
  <c r="AO121" i="22"/>
  <c r="AO119" i="22"/>
  <c r="AS119" i="22"/>
  <c r="AS153" i="22"/>
  <c r="AO153" i="22"/>
  <c r="AS152" i="22"/>
  <c r="AO152" i="22"/>
  <c r="X155" i="22"/>
  <c r="P155" i="22" s="1"/>
  <c r="AS155" i="22"/>
  <c r="AO155" i="22"/>
  <c r="AS101" i="22"/>
  <c r="AO101" i="22"/>
  <c r="AO154" i="22"/>
  <c r="AS154" i="22"/>
  <c r="AS100" i="22"/>
  <c r="AS97" i="22"/>
  <c r="AO97" i="22"/>
  <c r="AS99" i="22"/>
  <c r="AO99" i="22"/>
  <c r="AR478" i="22"/>
  <c r="AO478" i="22"/>
  <c r="AS478" i="22"/>
  <c r="X488" i="22"/>
  <c r="P488" i="22" s="1"/>
  <c r="AO488" i="22"/>
  <c r="AS488" i="22"/>
  <c r="W488" i="22"/>
  <c r="N488" i="22" s="1"/>
  <c r="AN488" i="22"/>
  <c r="AR488" i="22"/>
  <c r="AS468" i="22"/>
  <c r="AR468" i="22"/>
  <c r="AS417" i="22"/>
  <c r="AO417" i="22"/>
  <c r="AO416" i="22"/>
  <c r="AS416" i="22"/>
  <c r="AS415" i="22"/>
  <c r="AO415" i="22"/>
  <c r="AS427" i="22"/>
  <c r="AO427" i="22"/>
  <c r="AS425" i="22"/>
  <c r="AO425" i="22"/>
  <c r="AS426" i="22"/>
  <c r="AO426" i="22"/>
  <c r="AS213" i="22"/>
  <c r="AO213" i="22"/>
  <c r="AS215" i="22"/>
  <c r="AO215" i="22"/>
  <c r="AO214" i="22"/>
  <c r="AS214" i="22"/>
  <c r="AR214" i="22"/>
  <c r="AR215" i="22"/>
  <c r="AN215" i="22"/>
  <c r="X213" i="22"/>
  <c r="P213" i="22" s="1"/>
  <c r="X215" i="22"/>
  <c r="P215" i="22" s="1"/>
  <c r="X214" i="22"/>
  <c r="P214" i="22" s="1"/>
  <c r="I113" i="11"/>
  <c r="W465" i="22"/>
  <c r="N465" i="22" s="1"/>
  <c r="I111" i="11"/>
  <c r="P262" i="22"/>
  <c r="Q262" i="22" s="1"/>
  <c r="X260" i="22"/>
  <c r="I115" i="11"/>
  <c r="N262" i="22"/>
  <c r="O262" i="22" s="1"/>
  <c r="AL154" i="22"/>
  <c r="AL155" i="22"/>
  <c r="AM153" i="22"/>
  <c r="X154" i="22"/>
  <c r="P154" i="22" s="1"/>
  <c r="AM154" i="22"/>
  <c r="N306" i="22"/>
  <c r="O306" i="22" s="1"/>
  <c r="W305" i="22"/>
  <c r="AF306" i="22" s="1"/>
  <c r="AB306" i="22" s="1"/>
  <c r="N297" i="22"/>
  <c r="O297" i="22" s="1"/>
  <c r="W296" i="22"/>
  <c r="AF297" i="22" s="1"/>
  <c r="AB297" i="22" s="1"/>
  <c r="W314" i="22"/>
  <c r="AF315" i="22" s="1"/>
  <c r="AB315" i="22" s="1"/>
  <c r="N315" i="22"/>
  <c r="O315" i="22" s="1"/>
  <c r="N324" i="22"/>
  <c r="O324" i="22" s="1"/>
  <c r="W323" i="22"/>
  <c r="AF324" i="22" s="1"/>
  <c r="AB324" i="22" s="1"/>
  <c r="P324" i="22"/>
  <c r="Q324" i="22" s="1"/>
  <c r="X323" i="22"/>
  <c r="AG325" i="22" s="1"/>
  <c r="AB325" i="22" s="1"/>
  <c r="P315" i="22"/>
  <c r="Q315" i="22" s="1"/>
  <c r="X314" i="22"/>
  <c r="AG316" i="22" s="1"/>
  <c r="AB316" i="22" s="1"/>
  <c r="P306" i="22"/>
  <c r="Q306" i="22" s="1"/>
  <c r="X305" i="22"/>
  <c r="AG307" i="22" s="1"/>
  <c r="AB307" i="22" s="1"/>
  <c r="P297" i="22"/>
  <c r="Q297" i="22" s="1"/>
  <c r="X296" i="22"/>
  <c r="AG298" i="22" s="1"/>
  <c r="AB298" i="22" s="1"/>
  <c r="X164" i="22"/>
  <c r="P164" i="22" s="1"/>
  <c r="AM155" i="22"/>
  <c r="AM152" i="22"/>
  <c r="AM173" i="22"/>
  <c r="AM344" i="22"/>
  <c r="AS474" i="22" l="1"/>
  <c r="AO474" i="22"/>
  <c r="AR463" i="22"/>
  <c r="AS463" i="22"/>
  <c r="AR474" i="22"/>
  <c r="Q535" i="22"/>
  <c r="O535" i="22"/>
  <c r="P535" i="22" s="1"/>
  <c r="AP531" i="22"/>
  <c r="AQ532" i="22"/>
  <c r="AS382" i="22"/>
  <c r="W489" i="22"/>
  <c r="N489" i="22" s="1"/>
  <c r="AR160" i="22"/>
  <c r="AS240" i="22"/>
  <c r="AR240" i="22"/>
  <c r="AN95" i="22"/>
  <c r="AO170" i="22"/>
  <c r="AN180" i="22"/>
  <c r="AN230" i="22"/>
  <c r="AN240" i="22"/>
  <c r="X241" i="22"/>
  <c r="AG243" i="22" s="1"/>
  <c r="AB243" i="22" s="1"/>
  <c r="AD243" i="22" s="1"/>
  <c r="AO240" i="22"/>
  <c r="AO372" i="22"/>
  <c r="AS372" i="22"/>
  <c r="AO382" i="22"/>
  <c r="AO432" i="22"/>
  <c r="AS432" i="22"/>
  <c r="AN442" i="22"/>
  <c r="AR442" i="22"/>
  <c r="X433" i="22"/>
  <c r="AG435" i="22" s="1"/>
  <c r="AB435" i="22" s="1"/>
  <c r="AD435" i="22" s="1"/>
  <c r="Q434" i="22"/>
  <c r="AR432" i="22"/>
  <c r="AN432" i="22"/>
  <c r="AR422" i="22"/>
  <c r="AN422" i="22"/>
  <c r="AN412" i="22"/>
  <c r="AR412" i="22"/>
  <c r="AS362" i="22"/>
  <c r="AO362" i="22"/>
  <c r="P242" i="22"/>
  <c r="Q242" i="22" s="1"/>
  <c r="AO230" i="22"/>
  <c r="AS230" i="22"/>
  <c r="Q232" i="22"/>
  <c r="X231" i="22"/>
  <c r="AG233" i="22" s="1"/>
  <c r="AB233" i="22" s="1"/>
  <c r="AD233" i="22" s="1"/>
  <c r="AR230" i="22"/>
  <c r="AN220" i="22"/>
  <c r="AR220" i="22"/>
  <c r="AR180" i="22"/>
  <c r="AR170" i="22"/>
  <c r="AN150" i="22"/>
  <c r="AR150" i="22"/>
  <c r="AR117" i="22"/>
  <c r="AN117" i="22"/>
  <c r="AR95" i="22"/>
  <c r="AS180" i="22"/>
  <c r="AO180" i="22"/>
  <c r="AS170" i="22"/>
  <c r="AO160" i="22"/>
  <c r="AS160" i="22"/>
  <c r="AO106" i="22"/>
  <c r="AS106" i="22"/>
  <c r="AO442" i="22"/>
  <c r="AS442" i="22"/>
  <c r="Q222" i="22"/>
  <c r="AS220" i="22"/>
  <c r="AO220" i="22"/>
  <c r="X221" i="22"/>
  <c r="AG223" i="22" s="1"/>
  <c r="AB223" i="22" s="1"/>
  <c r="AD223" i="22" s="1"/>
  <c r="X443" i="22"/>
  <c r="AG445" i="22" s="1"/>
  <c r="AB445" i="22" s="1"/>
  <c r="AD445" i="22" s="1"/>
  <c r="P444" i="22"/>
  <c r="Q444" i="22" s="1"/>
  <c r="AR106" i="22"/>
  <c r="AN106" i="22"/>
  <c r="X489" i="22"/>
  <c r="P489" i="22" s="1"/>
  <c r="AS489" i="22"/>
  <c r="AS484" i="22" s="1"/>
  <c r="AN489" i="22"/>
  <c r="AF116" i="11"/>
  <c r="L116" i="11" s="1" a="1"/>
  <c r="L116" i="11" s="1"/>
  <c r="N116" i="11"/>
  <c r="N115" i="11"/>
  <c r="AF115" i="11"/>
  <c r="L115" i="11" s="1" a="1"/>
  <c r="L115" i="11" s="1"/>
  <c r="AS117" i="22"/>
  <c r="AS150" i="22"/>
  <c r="AO150" i="22"/>
  <c r="AS95" i="22"/>
  <c r="AR484" i="22"/>
  <c r="AS412" i="22"/>
  <c r="AS422" i="22"/>
  <c r="AR210" i="22"/>
  <c r="AS210" i="22"/>
  <c r="I116" i="11"/>
  <c r="AF261" i="22"/>
  <c r="AB261" i="22" s="1"/>
  <c r="AD261" i="22" s="1"/>
  <c r="AA69" i="22"/>
  <c r="Y41" i="22" s="1"/>
  <c r="AB69" i="22"/>
  <c r="Z41" i="22" s="1"/>
  <c r="AG262" i="22"/>
  <c r="AB262" i="22" s="1"/>
  <c r="AD262" i="22" s="1"/>
  <c r="I112" i="11"/>
  <c r="V112" i="11" s="1"/>
  <c r="W112" i="11" s="1"/>
  <c r="V111" i="11"/>
  <c r="W111" i="11" s="1"/>
  <c r="I114" i="11"/>
  <c r="V114" i="11" s="1"/>
  <c r="W114" i="11" s="1"/>
  <c r="V113" i="11"/>
  <c r="W113" i="11" s="1"/>
  <c r="BC59" i="22"/>
  <c r="O189" i="15"/>
  <c r="O203" i="15" s="1"/>
  <c r="P189" i="15"/>
  <c r="P203" i="15" s="1"/>
  <c r="Q189" i="15"/>
  <c r="Q203" i="15" s="1"/>
  <c r="R189" i="15"/>
  <c r="R203" i="15" s="1"/>
  <c r="S189" i="15"/>
  <c r="S203" i="15" s="1"/>
  <c r="T189" i="15"/>
  <c r="U189" i="15"/>
  <c r="U203" i="15" s="1"/>
  <c r="O190" i="15"/>
  <c r="P190" i="15"/>
  <c r="Q190" i="15"/>
  <c r="R190" i="15"/>
  <c r="S190" i="15"/>
  <c r="T190" i="15"/>
  <c r="U190" i="15"/>
  <c r="U188" i="15"/>
  <c r="T188" i="15"/>
  <c r="S188" i="15"/>
  <c r="R188" i="15"/>
  <c r="Q188" i="15"/>
  <c r="P188" i="15"/>
  <c r="O188" i="15"/>
  <c r="Q121" i="15"/>
  <c r="P121" i="15"/>
  <c r="O121" i="15"/>
  <c r="AU458" i="22" l="1"/>
  <c r="AT457" i="22"/>
  <c r="AB12" i="22"/>
  <c r="AD12" i="22" s="1"/>
  <c r="M115" i="11"/>
  <c r="Q115" i="11" s="1"/>
  <c r="U115" i="11" s="1"/>
  <c r="V115" i="11" s="1"/>
  <c r="W115" i="11" s="1"/>
  <c r="X115" i="11" s="1"/>
  <c r="P115" i="11"/>
  <c r="AB115" i="11"/>
  <c r="P116" i="11"/>
  <c r="M116" i="11"/>
  <c r="Q116" i="11" s="1"/>
  <c r="U116" i="11" s="1"/>
  <c r="V116" i="11" s="1"/>
  <c r="W116" i="11" s="1"/>
  <c r="AB116" i="11"/>
  <c r="N117" i="11"/>
  <c r="Y113" i="11"/>
  <c r="X113" i="11"/>
  <c r="X112" i="11"/>
  <c r="Y112" i="11"/>
  <c r="I87" i="11" s="1"/>
  <c r="X111" i="11"/>
  <c r="Y111" i="11"/>
  <c r="Y114" i="11"/>
  <c r="I88" i="11" s="1"/>
  <c r="X114" i="11"/>
  <c r="X417" i="22"/>
  <c r="P417" i="22" s="1"/>
  <c r="X427" i="22"/>
  <c r="P427" i="22" s="1"/>
  <c r="X478" i="22"/>
  <c r="V118" i="11"/>
  <c r="W118" i="11" s="1"/>
  <c r="V119" i="11"/>
  <c r="W119" i="11" s="1"/>
  <c r="V120" i="11"/>
  <c r="W120" i="11" s="1"/>
  <c r="W165" i="22"/>
  <c r="N165" i="22" s="1"/>
  <c r="W427" i="22"/>
  <c r="N427" i="22" s="1"/>
  <c r="W155" i="22"/>
  <c r="N155" i="22" s="1"/>
  <c r="BD59" i="22"/>
  <c r="X188" i="15"/>
  <c r="X202" i="15" s="1"/>
  <c r="W478" i="22"/>
  <c r="X189" i="15"/>
  <c r="X203" i="15" s="1"/>
  <c r="T203" i="15"/>
  <c r="X208" i="15"/>
  <c r="X190" i="15"/>
  <c r="X204" i="15" s="1"/>
  <c r="Y115" i="11" l="1"/>
  <c r="H89" i="11" s="1"/>
  <c r="AB117" i="11"/>
  <c r="P117" i="11"/>
  <c r="M117" i="11"/>
  <c r="Q117" i="11" s="1"/>
  <c r="U117" i="11" s="1"/>
  <c r="V117" i="11" s="1"/>
  <c r="W117" i="11" s="1"/>
  <c r="X117" i="11" s="1"/>
  <c r="AC116" i="11"/>
  <c r="AD116" i="11" s="1"/>
  <c r="T116" i="11"/>
  <c r="R116" i="11"/>
  <c r="R115" i="11"/>
  <c r="T115" i="11"/>
  <c r="Y120" i="11"/>
  <c r="I91" i="11" s="1"/>
  <c r="X120" i="11"/>
  <c r="H87" i="11"/>
  <c r="J87" i="11" s="1"/>
  <c r="Z112" i="11"/>
  <c r="Y116" i="11"/>
  <c r="I89" i="11" s="1"/>
  <c r="X116" i="11"/>
  <c r="Y119" i="11"/>
  <c r="H91" i="11" s="1"/>
  <c r="X119" i="11"/>
  <c r="X118" i="11"/>
  <c r="Y118" i="11"/>
  <c r="I90" i="11" s="1"/>
  <c r="P478" i="22"/>
  <c r="Q476" i="22" s="1"/>
  <c r="X475" i="22"/>
  <c r="AG477" i="22" s="1"/>
  <c r="AB477" i="22" s="1"/>
  <c r="AD477" i="22" s="1"/>
  <c r="W475" i="22"/>
  <c r="AF476" i="22" s="1"/>
  <c r="AB476" i="22" s="1"/>
  <c r="AD476" i="22" s="1"/>
  <c r="N478" i="22"/>
  <c r="O476" i="22" s="1"/>
  <c r="H88" i="11"/>
  <c r="J88" i="11" s="1"/>
  <c r="Z114" i="11"/>
  <c r="BD60" i="22"/>
  <c r="O152" i="15"/>
  <c r="P152" i="15"/>
  <c r="Q152" i="15"/>
  <c r="R152" i="15"/>
  <c r="S152" i="15"/>
  <c r="T152" i="15"/>
  <c r="U152" i="15"/>
  <c r="O153" i="15"/>
  <c r="P153" i="15"/>
  <c r="Q153" i="15"/>
  <c r="R153" i="15"/>
  <c r="S153" i="15"/>
  <c r="T153" i="15"/>
  <c r="U153" i="15"/>
  <c r="O154" i="15"/>
  <c r="P154" i="15"/>
  <c r="Q154" i="15"/>
  <c r="R154" i="15"/>
  <c r="S154" i="15"/>
  <c r="T154" i="15"/>
  <c r="W202" i="22" s="1"/>
  <c r="U154" i="15"/>
  <c r="O158" i="15"/>
  <c r="P158" i="15"/>
  <c r="Q158" i="15"/>
  <c r="R158" i="15"/>
  <c r="S158" i="15"/>
  <c r="T158" i="15"/>
  <c r="X158" i="15" s="1"/>
  <c r="U158" i="15"/>
  <c r="O159" i="15"/>
  <c r="P159" i="15"/>
  <c r="Q159" i="15"/>
  <c r="R159" i="15"/>
  <c r="S159" i="15"/>
  <c r="T159" i="15"/>
  <c r="X159" i="15" s="1"/>
  <c r="U159" i="15"/>
  <c r="Q166" i="15"/>
  <c r="R166" i="15"/>
  <c r="S166" i="15"/>
  <c r="T166" i="15"/>
  <c r="X166" i="15" s="1"/>
  <c r="U166" i="15"/>
  <c r="O141" i="15"/>
  <c r="P141" i="15"/>
  <c r="Q141" i="15"/>
  <c r="R141" i="15"/>
  <c r="S141" i="15"/>
  <c r="T141" i="15"/>
  <c r="X141" i="15" s="1"/>
  <c r="U141" i="15"/>
  <c r="W227" i="22"/>
  <c r="X131" i="22"/>
  <c r="O192" i="15"/>
  <c r="P192" i="15"/>
  <c r="Q192" i="15"/>
  <c r="R192" i="15"/>
  <c r="S192" i="15"/>
  <c r="T192" i="15"/>
  <c r="U192" i="15"/>
  <c r="X354" i="22"/>
  <c r="P354" i="22" s="1"/>
  <c r="O54" i="15"/>
  <c r="P54" i="15"/>
  <c r="Q54" i="15"/>
  <c r="R54" i="15"/>
  <c r="S54" i="15"/>
  <c r="T54" i="15"/>
  <c r="X100" i="22" s="1"/>
  <c r="P100" i="22" s="1"/>
  <c r="U54" i="15"/>
  <c r="O55" i="15"/>
  <c r="P55" i="15"/>
  <c r="Q55" i="15"/>
  <c r="R55" i="15"/>
  <c r="S55" i="15"/>
  <c r="T55" i="15"/>
  <c r="W100" i="22" s="1"/>
  <c r="N100" i="22" s="1"/>
  <c r="U55" i="15"/>
  <c r="O56" i="15"/>
  <c r="P56" i="15"/>
  <c r="Q56" i="15"/>
  <c r="R56" i="15"/>
  <c r="S56" i="15"/>
  <c r="T56" i="15"/>
  <c r="U56" i="15"/>
  <c r="AO100" i="22" s="1"/>
  <c r="AO95" i="22" s="1"/>
  <c r="W99" i="22"/>
  <c r="N99" i="22" s="1"/>
  <c r="U151" i="15"/>
  <c r="T151" i="15"/>
  <c r="S151" i="15"/>
  <c r="R151" i="15"/>
  <c r="Q151" i="15"/>
  <c r="P151" i="15"/>
  <c r="O151" i="15"/>
  <c r="X140" i="15"/>
  <c r="U121" i="15"/>
  <c r="AN214" i="22" s="1"/>
  <c r="T121" i="15"/>
  <c r="S121" i="15"/>
  <c r="R121" i="15"/>
  <c r="U53" i="15"/>
  <c r="T53" i="15"/>
  <c r="X122" i="22" s="1"/>
  <c r="P122" i="22" s="1"/>
  <c r="S53" i="15"/>
  <c r="R53" i="15"/>
  <c r="Q53" i="15"/>
  <c r="P53" i="15"/>
  <c r="O53" i="15"/>
  <c r="X487" i="22"/>
  <c r="P487" i="22" s="1"/>
  <c r="Y117" i="11" l="1"/>
  <c r="H90" i="11" s="1"/>
  <c r="J90" i="11" s="1"/>
  <c r="AO122" i="22"/>
  <c r="AO117" i="22" s="1"/>
  <c r="AO468" i="22"/>
  <c r="AO463" i="22" s="1"/>
  <c r="AN468" i="22"/>
  <c r="AN463" i="22" s="1"/>
  <c r="T117" i="11"/>
  <c r="R117" i="11"/>
  <c r="AC118" i="11"/>
  <c r="AD118" i="11" s="1"/>
  <c r="AC117" i="11"/>
  <c r="AD117" i="11" s="1"/>
  <c r="AO424" i="22"/>
  <c r="AO422" i="22" s="1"/>
  <c r="AO212" i="22"/>
  <c r="AO210" i="22" s="1"/>
  <c r="AN212" i="22"/>
  <c r="AO486" i="22"/>
  <c r="AO484" i="22" s="1"/>
  <c r="AO414" i="22"/>
  <c r="AO412" i="22" s="1"/>
  <c r="AN202" i="22"/>
  <c r="AN486" i="22"/>
  <c r="AN484" i="22" s="1"/>
  <c r="AO202" i="22"/>
  <c r="Z116" i="11"/>
  <c r="J89" i="11"/>
  <c r="W486" i="22"/>
  <c r="N486" i="22" s="1"/>
  <c r="X486" i="22"/>
  <c r="X414" i="22"/>
  <c r="P414" i="22" s="1"/>
  <c r="X424" i="22"/>
  <c r="P424" i="22" s="1"/>
  <c r="X212" i="22"/>
  <c r="J91" i="11"/>
  <c r="W426" i="22"/>
  <c r="N426" i="22" s="1"/>
  <c r="X426" i="22"/>
  <c r="P426" i="22" s="1"/>
  <c r="X416" i="22"/>
  <c r="P416" i="22" s="1"/>
  <c r="W487" i="22"/>
  <c r="X425" i="22"/>
  <c r="X415" i="22"/>
  <c r="X53" i="15"/>
  <c r="X468" i="22"/>
  <c r="W468" i="22"/>
  <c r="W223" i="22"/>
  <c r="N223" i="22" s="1"/>
  <c r="W365" i="22"/>
  <c r="N365" i="22" s="1"/>
  <c r="W367" i="22"/>
  <c r="N367" i="22" s="1"/>
  <c r="W101" i="22"/>
  <c r="N101" i="22" s="1"/>
  <c r="X101" i="22"/>
  <c r="P101" i="22" s="1"/>
  <c r="W415" i="22"/>
  <c r="W425" i="22"/>
  <c r="N425" i="22" s="1"/>
  <c r="W424" i="22"/>
  <c r="N414" i="22"/>
  <c r="W97" i="22"/>
  <c r="W108" i="22"/>
  <c r="W119" i="22"/>
  <c r="X119" i="22"/>
  <c r="X108" i="22"/>
  <c r="X97" i="22"/>
  <c r="W153" i="22"/>
  <c r="N153" i="22" s="1"/>
  <c r="W173" i="22"/>
  <c r="N173" i="22" s="1"/>
  <c r="W183" i="22"/>
  <c r="N183" i="22" s="1"/>
  <c r="X183" i="22"/>
  <c r="P183" i="22" s="1"/>
  <c r="W163" i="22"/>
  <c r="N163" i="22" s="1"/>
  <c r="X121" i="22"/>
  <c r="P121" i="22" s="1"/>
  <c r="X99" i="22"/>
  <c r="P99" i="22" s="1"/>
  <c r="W384" i="22"/>
  <c r="N384" i="22" s="1"/>
  <c r="W374" i="22"/>
  <c r="N374" i="22" s="1"/>
  <c r="W364" i="22"/>
  <c r="N364" i="22" s="1"/>
  <c r="W234" i="22"/>
  <c r="N234" i="22" s="1"/>
  <c r="W214" i="22"/>
  <c r="N214" i="22" s="1"/>
  <c r="W244" i="22"/>
  <c r="N244" i="22" s="1"/>
  <c r="W224" i="22"/>
  <c r="N224" i="22" s="1"/>
  <c r="X163" i="22"/>
  <c r="P163" i="22" s="1"/>
  <c r="X173" i="22"/>
  <c r="P173" i="22" s="1"/>
  <c r="X153" i="22"/>
  <c r="P153" i="22" s="1"/>
  <c r="W152" i="22"/>
  <c r="W172" i="22"/>
  <c r="W182" i="22"/>
  <c r="X182" i="22"/>
  <c r="X172" i="22"/>
  <c r="X162" i="22"/>
  <c r="X152" i="22"/>
  <c r="W215" i="22"/>
  <c r="N215" i="22" s="1"/>
  <c r="W225" i="22"/>
  <c r="N225" i="22" s="1"/>
  <c r="W235" i="22"/>
  <c r="N235" i="22" s="1"/>
  <c r="W245" i="22"/>
  <c r="N245" i="22" s="1"/>
  <c r="X154" i="15"/>
  <c r="W434" i="22"/>
  <c r="X153" i="15"/>
  <c r="W444" i="22"/>
  <c r="W242" i="22"/>
  <c r="W222" i="22"/>
  <c r="W232" i="22"/>
  <c r="W212" i="22"/>
  <c r="X151" i="15"/>
  <c r="X152" i="15"/>
  <c r="BD61" i="22"/>
  <c r="X54" i="15"/>
  <c r="X192" i="15"/>
  <c r="X55" i="15"/>
  <c r="X121" i="15"/>
  <c r="X56" i="15"/>
  <c r="W162" i="22"/>
  <c r="F79" i="2"/>
  <c r="AP457" i="22" l="1"/>
  <c r="AQ458" i="22"/>
  <c r="X211" i="22"/>
  <c r="AG213" i="22" s="1"/>
  <c r="AB213" i="22" s="1"/>
  <c r="AD213" i="22" s="1"/>
  <c r="P212" i="22"/>
  <c r="Q212" i="22" s="1"/>
  <c r="P486" i="22"/>
  <c r="Q486" i="22" s="1"/>
  <c r="X485" i="22"/>
  <c r="P415" i="22"/>
  <c r="Q414" i="22" s="1"/>
  <c r="X413" i="22"/>
  <c r="AG415" i="22" s="1"/>
  <c r="AB415" i="22" s="1"/>
  <c r="AD415" i="22" s="1"/>
  <c r="P425" i="22"/>
  <c r="Q424" i="22" s="1"/>
  <c r="X423" i="22"/>
  <c r="AG425" i="22" s="1"/>
  <c r="AB425" i="22" s="1"/>
  <c r="AD425" i="22" s="1"/>
  <c r="N487" i="22"/>
  <c r="O486" i="22" s="1"/>
  <c r="W485" i="22"/>
  <c r="AF486" i="22" s="1"/>
  <c r="N468" i="22"/>
  <c r="O465" i="22" s="1"/>
  <c r="W464" i="22"/>
  <c r="P468" i="22"/>
  <c r="Q465" i="22" s="1"/>
  <c r="X464" i="22"/>
  <c r="N415" i="22"/>
  <c r="O414" i="22" s="1"/>
  <c r="O364" i="22"/>
  <c r="W423" i="22"/>
  <c r="AF424" i="22" s="1"/>
  <c r="AB424" i="22" s="1"/>
  <c r="AD424" i="22" s="1"/>
  <c r="N424" i="22"/>
  <c r="O424" i="22" s="1"/>
  <c r="N212" i="22"/>
  <c r="O212" i="22" s="1"/>
  <c r="W211" i="22"/>
  <c r="AF212" i="22" s="1"/>
  <c r="AB212" i="22" s="1"/>
  <c r="AD212" i="22" s="1"/>
  <c r="N232" i="22"/>
  <c r="O232" i="22" s="1"/>
  <c r="W231" i="22"/>
  <c r="AF232" i="22" s="1"/>
  <c r="AB232" i="22" s="1"/>
  <c r="AD232" i="22" s="1"/>
  <c r="N222" i="22"/>
  <c r="O222" i="22" s="1"/>
  <c r="W221" i="22"/>
  <c r="AF222" i="22" s="1"/>
  <c r="AB222" i="22" s="1"/>
  <c r="AD222" i="22" s="1"/>
  <c r="N242" i="22"/>
  <c r="O242" i="22" s="1"/>
  <c r="W241" i="22"/>
  <c r="AF242" i="22" s="1"/>
  <c r="AB242" i="22" s="1"/>
  <c r="AD242" i="22" s="1"/>
  <c r="W443" i="22"/>
  <c r="AF444" i="22" s="1"/>
  <c r="AB444" i="22" s="1"/>
  <c r="AD444" i="22" s="1"/>
  <c r="N444" i="22"/>
  <c r="O444" i="22" s="1"/>
  <c r="N434" i="22"/>
  <c r="O434" i="22" s="1"/>
  <c r="W433" i="22"/>
  <c r="AF434" i="22" s="1"/>
  <c r="AB434" i="22" s="1"/>
  <c r="AD434" i="22" s="1"/>
  <c r="P152" i="22"/>
  <c r="Q152" i="22" s="1"/>
  <c r="X151" i="22"/>
  <c r="AG153" i="22" s="1"/>
  <c r="AB153" i="22" s="1"/>
  <c r="P162" i="22"/>
  <c r="Q162" i="22" s="1"/>
  <c r="X161" i="22"/>
  <c r="AG163" i="22" s="1"/>
  <c r="AB163" i="22" s="1"/>
  <c r="P172" i="22"/>
  <c r="Q172" i="22" s="1"/>
  <c r="X171" i="22"/>
  <c r="AG173" i="22" s="1"/>
  <c r="AB173" i="22" s="1"/>
  <c r="AD173" i="22" s="1"/>
  <c r="P182" i="22"/>
  <c r="Q182" i="22" s="1"/>
  <c r="X181" i="22"/>
  <c r="AG183" i="22" s="1"/>
  <c r="AB183" i="22" s="1"/>
  <c r="W181" i="22"/>
  <c r="AF182" i="22" s="1"/>
  <c r="AB182" i="22" s="1"/>
  <c r="N182" i="22"/>
  <c r="O182" i="22" s="1"/>
  <c r="W171" i="22"/>
  <c r="AF172" i="22" s="1"/>
  <c r="AB172" i="22" s="1"/>
  <c r="N172" i="22"/>
  <c r="O172" i="22" s="1"/>
  <c r="W161" i="22"/>
  <c r="AF162" i="22" s="1"/>
  <c r="AB162" i="22" s="1"/>
  <c r="N162" i="22"/>
  <c r="O162" i="22" s="1"/>
  <c r="N152" i="22"/>
  <c r="O152" i="22" s="1"/>
  <c r="W151" i="22"/>
  <c r="AF152" i="22" s="1"/>
  <c r="AB152" i="22" s="1"/>
  <c r="P97" i="22"/>
  <c r="Q97" i="22" s="1"/>
  <c r="X96" i="22"/>
  <c r="AG98" i="22" s="1"/>
  <c r="AB98" i="22" s="1"/>
  <c r="AD98" i="22" s="1"/>
  <c r="P108" i="22"/>
  <c r="Q108" i="22" s="1"/>
  <c r="X107" i="22"/>
  <c r="AG109" i="22" s="1"/>
  <c r="AB109" i="22" s="1"/>
  <c r="P119" i="22"/>
  <c r="Q119" i="22" s="1"/>
  <c r="X118" i="22"/>
  <c r="N119" i="22"/>
  <c r="O119" i="22" s="1"/>
  <c r="W118" i="22"/>
  <c r="N108" i="22"/>
  <c r="O108" i="22" s="1"/>
  <c r="W107" i="22"/>
  <c r="AF108" i="22" s="1"/>
  <c r="AB108" i="22" s="1"/>
  <c r="W96" i="22"/>
  <c r="AF97" i="22" s="1"/>
  <c r="AB97" i="22" s="1"/>
  <c r="AD97" i="22" s="1"/>
  <c r="N97" i="22"/>
  <c r="O97" i="22" s="1"/>
  <c r="AG487" i="22" l="1"/>
  <c r="AB487" i="22" s="1"/>
  <c r="AD487" i="22" s="1"/>
  <c r="AB486" i="22"/>
  <c r="AD486" i="22" s="1"/>
  <c r="AG466" i="22"/>
  <c r="AB466" i="22" s="1"/>
  <c r="AD466" i="22" s="1"/>
  <c r="AB68" i="22"/>
  <c r="Z46" i="22" s="1"/>
  <c r="AF465" i="22"/>
  <c r="AB465" i="22" s="1"/>
  <c r="AD465" i="22" s="1"/>
  <c r="AA68" i="22"/>
  <c r="Y46" i="22" s="1"/>
  <c r="AG120" i="22"/>
  <c r="AB120" i="22" s="1"/>
  <c r="AF119" i="22"/>
  <c r="AD163" i="22"/>
  <c r="AB166" i="22"/>
  <c r="BD62" i="22"/>
  <c r="BD22" i="22"/>
  <c r="BD63" i="22" s="1"/>
  <c r="AB119" i="22" l="1"/>
  <c r="BD24" i="22"/>
  <c r="BD64" i="22" l="1"/>
  <c r="AM345" i="22"/>
  <c r="AL345" i="22"/>
  <c r="BC60" i="22" l="1"/>
  <c r="BC62" i="22"/>
  <c r="BC61" i="22"/>
  <c r="BC22" i="22"/>
  <c r="BC24" i="22" s="1"/>
  <c r="BC64" i="22" l="1"/>
  <c r="BC63" i="22"/>
  <c r="W375" i="22" l="1"/>
  <c r="N375" i="22" s="1"/>
  <c r="O374" i="22" s="1"/>
  <c r="W354" i="22"/>
  <c r="N354" i="22" s="1"/>
  <c r="X374" i="22"/>
  <c r="P374" i="22" s="1"/>
  <c r="Q374" i="22" s="1"/>
  <c r="X365" i="22"/>
  <c r="W385" i="22"/>
  <c r="N385" i="22" s="1"/>
  <c r="O384" i="22" s="1"/>
  <c r="X384" i="22"/>
  <c r="P384" i="22" s="1"/>
  <c r="Q384" i="22" s="1"/>
  <c r="B42" i="26"/>
  <c r="C85" i="11"/>
  <c r="E85" i="11" s="1"/>
  <c r="G85" i="11" s="1"/>
  <c r="I85" i="11" s="1"/>
  <c r="AC316" i="22" s="1"/>
  <c r="C83" i="11"/>
  <c r="E83" i="11" s="1"/>
  <c r="G83" i="11" s="1"/>
  <c r="C84" i="11"/>
  <c r="E84" i="11" s="1"/>
  <c r="G84" i="11" s="1"/>
  <c r="I84" i="11" s="1"/>
  <c r="AC307" i="22" s="1"/>
  <c r="B83" i="11"/>
  <c r="D83" i="11" s="1"/>
  <c r="F83" i="11" s="1"/>
  <c r="H83" i="11" s="1"/>
  <c r="AC297" i="22" s="1"/>
  <c r="B85" i="11"/>
  <c r="D85" i="11" s="1"/>
  <c r="F85" i="11" s="1"/>
  <c r="H85" i="11" s="1"/>
  <c r="AC315" i="22" s="1"/>
  <c r="B84" i="11"/>
  <c r="D84" i="11" s="1"/>
  <c r="F84" i="11" s="1"/>
  <c r="H84" i="11" s="1"/>
  <c r="AC306" i="22" s="1"/>
  <c r="B86" i="11"/>
  <c r="D86" i="11" s="1"/>
  <c r="F86" i="11" s="1"/>
  <c r="H86" i="11" s="1"/>
  <c r="AC324" i="22" s="1"/>
  <c r="I288" i="22"/>
  <c r="D288" i="22"/>
  <c r="B82" i="11" l="1"/>
  <c r="C82" i="11"/>
  <c r="X363" i="22"/>
  <c r="AG365" i="22" s="1"/>
  <c r="AB365" i="22" s="1"/>
  <c r="AD365" i="22" s="1"/>
  <c r="P365" i="22"/>
  <c r="Q364" i="22" s="1"/>
  <c r="Y306" i="22"/>
  <c r="AD306" i="22"/>
  <c r="Y324" i="22"/>
  <c r="AD324" i="22"/>
  <c r="Y315" i="22"/>
  <c r="AD315" i="22"/>
  <c r="Z315" i="22"/>
  <c r="AD316" i="22"/>
  <c r="Z306" i="22"/>
  <c r="AD307" i="22"/>
  <c r="Y297" i="22"/>
  <c r="AD297" i="22"/>
  <c r="I83" i="11"/>
  <c r="AC298" i="22" s="1"/>
  <c r="M89" i="22"/>
  <c r="M90" i="22"/>
  <c r="H89" i="22"/>
  <c r="H90" i="22"/>
  <c r="X373" i="22"/>
  <c r="AG375" i="22" s="1"/>
  <c r="AB375" i="22" s="1"/>
  <c r="AD375" i="22" s="1"/>
  <c r="X383" i="22"/>
  <c r="AG385" i="22" s="1"/>
  <c r="AB385" i="22" s="1"/>
  <c r="AD385" i="22" s="1"/>
  <c r="J85" i="11"/>
  <c r="J84" i="11"/>
  <c r="AS391" i="22"/>
  <c r="AI166" i="22"/>
  <c r="AW324" i="22"/>
  <c r="AW306" i="22"/>
  <c r="AI909" i="22"/>
  <c r="AI886" i="22"/>
  <c r="AI892" i="22"/>
  <c r="W378" i="22"/>
  <c r="W373" i="22" s="1"/>
  <c r="AF374" i="22" s="1"/>
  <c r="AB374" i="22" s="1"/>
  <c r="AD374" i="22" s="1"/>
  <c r="H144" i="22"/>
  <c r="AL337" i="22"/>
  <c r="AL341" i="22"/>
  <c r="AJ177" i="22"/>
  <c r="AL177" i="22" s="1"/>
  <c r="AN177" i="22" s="1"/>
  <c r="M143" i="22"/>
  <c r="AI893" i="22"/>
  <c r="AI124" i="22"/>
  <c r="AI896" i="22"/>
  <c r="AR330" i="22"/>
  <c r="AI890" i="22"/>
  <c r="AW314" i="22"/>
  <c r="AL303" i="22"/>
  <c r="AW317" i="22"/>
  <c r="AJ217" i="22"/>
  <c r="AL217" i="22" s="1"/>
  <c r="AN217" i="22" s="1"/>
  <c r="AL342" i="22"/>
  <c r="M407" i="22"/>
  <c r="AI167" i="22"/>
  <c r="AI103" i="22"/>
  <c r="AI887" i="22"/>
  <c r="AI146" i="22"/>
  <c r="AI889" i="22"/>
  <c r="AI113" i="22"/>
  <c r="AL190" i="22"/>
  <c r="AN190" i="22" s="1"/>
  <c r="M406" i="22"/>
  <c r="AI911" i="22"/>
  <c r="AI895" i="22"/>
  <c r="W368" i="22"/>
  <c r="W363" i="22" s="1"/>
  <c r="AF364" i="22" s="1"/>
  <c r="AB364" i="22" s="1"/>
  <c r="AD364" i="22" s="1"/>
  <c r="AI901" i="22"/>
  <c r="W418" i="22"/>
  <c r="W413" i="22" s="1"/>
  <c r="AR390" i="22"/>
  <c r="AR329" i="22"/>
  <c r="AI133" i="22"/>
  <c r="AI900" i="22"/>
  <c r="AI904" i="22"/>
  <c r="AW315" i="22"/>
  <c r="AI134" i="22"/>
  <c r="H347" i="22"/>
  <c r="AI176" i="22"/>
  <c r="AL335" i="22"/>
  <c r="AN335" i="22" s="1"/>
  <c r="AW328" i="22"/>
  <c r="AW313" i="22"/>
  <c r="M405" i="22"/>
  <c r="M203" i="22"/>
  <c r="AI217" i="22"/>
  <c r="M144" i="22"/>
  <c r="AI898" i="22"/>
  <c r="H78" i="22"/>
  <c r="AS390" i="22"/>
  <c r="H205" i="22"/>
  <c r="AR391" i="22"/>
  <c r="AI903" i="22"/>
  <c r="AI899" i="22"/>
  <c r="AI910" i="22"/>
  <c r="AL158" i="22"/>
  <c r="AL188" i="22"/>
  <c r="AN188" i="22" s="1"/>
  <c r="AW319" i="22"/>
  <c r="W383" i="22"/>
  <c r="AF384" i="22" s="1"/>
  <c r="AB384" i="22" s="1"/>
  <c r="AD384" i="22" s="1"/>
  <c r="M78" i="22"/>
  <c r="AI897" i="22"/>
  <c r="H346" i="22"/>
  <c r="AR331" i="22"/>
  <c r="AI913" i="22"/>
  <c r="AI157" i="22"/>
  <c r="AI907" i="22"/>
  <c r="H79" i="22"/>
  <c r="AI906" i="22"/>
  <c r="AI888" i="22"/>
  <c r="AJ125" i="22"/>
  <c r="AL125" i="22" s="1"/>
  <c r="AN125" i="22" s="1"/>
  <c r="AL192" i="22"/>
  <c r="AN192" i="22" s="1"/>
  <c r="AW321" i="22"/>
  <c r="M204" i="22"/>
  <c r="AI216" i="22"/>
  <c r="AI908" i="22"/>
  <c r="AI114" i="22"/>
  <c r="H204" i="22"/>
  <c r="AR204" i="22" s="1"/>
  <c r="AI912" i="22"/>
  <c r="AI905" i="22"/>
  <c r="AL115" i="22"/>
  <c r="AJ124" i="22"/>
  <c r="AL124" i="22" s="1"/>
  <c r="AN124" i="22" s="1"/>
  <c r="AJ114" i="22"/>
  <c r="AL114" i="22" s="1"/>
  <c r="AN114" i="22" s="1"/>
  <c r="H407" i="22"/>
  <c r="H143" i="22"/>
  <c r="AI125" i="22"/>
  <c r="AI177" i="22"/>
  <c r="M205" i="22"/>
  <c r="AI891" i="22"/>
  <c r="M79" i="22"/>
  <c r="AI194" i="22"/>
  <c r="AI902" i="22"/>
  <c r="H145" i="22"/>
  <c r="AI894" i="22"/>
  <c r="AI126" i="22"/>
  <c r="AI102" i="22"/>
  <c r="M145" i="22"/>
  <c r="AL148" i="22"/>
  <c r="AW308" i="22"/>
  <c r="AW311" i="22"/>
  <c r="AJ157" i="22"/>
  <c r="AL157" i="22" s="1"/>
  <c r="AN157" i="22" s="1"/>
  <c r="AL174" i="22"/>
  <c r="AL104" i="22"/>
  <c r="AJ216" i="22"/>
  <c r="AL216" i="22" s="1"/>
  <c r="AN216" i="22" s="1"/>
  <c r="AN210" i="22" s="1"/>
  <c r="AL127" i="22"/>
  <c r="AN127" i="22" s="1"/>
  <c r="AJ134" i="22"/>
  <c r="AL134" i="22" s="1"/>
  <c r="AL340" i="22"/>
  <c r="M347" i="22"/>
  <c r="AL193" i="22"/>
  <c r="AN193" i="22" s="1"/>
  <c r="AW303" i="22"/>
  <c r="AW320" i="22"/>
  <c r="AL339" i="22"/>
  <c r="AW312" i="22"/>
  <c r="AW325" i="22"/>
  <c r="AW322" i="22"/>
  <c r="AJ166" i="22"/>
  <c r="AL166" i="22" s="1"/>
  <c r="AN166" i="22" s="1"/>
  <c r="AN160" i="22" s="1"/>
  <c r="AL348" i="22"/>
  <c r="AN348" i="22" s="1"/>
  <c r="AJ146" i="22"/>
  <c r="AL146" i="22" s="1"/>
  <c r="AN146" i="22" s="1"/>
  <c r="AW304" i="22"/>
  <c r="AL191" i="22"/>
  <c r="AN191" i="22" s="1"/>
  <c r="AL334" i="22"/>
  <c r="AN334" i="22" s="1"/>
  <c r="AJ176" i="22"/>
  <c r="AL176" i="22" s="1"/>
  <c r="AN176" i="22" s="1"/>
  <c r="AN170" i="22" s="1"/>
  <c r="AS331" i="22"/>
  <c r="AU331" i="22" s="1"/>
  <c r="AW331" i="22" s="1"/>
  <c r="AL277" i="22"/>
  <c r="AN277" i="22" s="1"/>
  <c r="AL275" i="22"/>
  <c r="AN275" i="22" s="1"/>
  <c r="AS329" i="22"/>
  <c r="AU329" i="22" s="1"/>
  <c r="AW329" i="22" s="1"/>
  <c r="AW307" i="22"/>
  <c r="AW310" i="22"/>
  <c r="M346" i="22"/>
  <c r="AJ102" i="22"/>
  <c r="AL102" i="22" s="1"/>
  <c r="AN102" i="22" s="1"/>
  <c r="AL338" i="22"/>
  <c r="AL343" i="22"/>
  <c r="AJ126" i="22"/>
  <c r="AL126" i="22" s="1"/>
  <c r="AN126" i="22" s="1"/>
  <c r="AL178" i="22"/>
  <c r="AL276" i="22"/>
  <c r="AN276" i="22" s="1"/>
  <c r="AW326" i="22"/>
  <c r="AJ194" i="22"/>
  <c r="AL194" i="22" s="1"/>
  <c r="AW302" i="22"/>
  <c r="AW305" i="22"/>
  <c r="AL168" i="22"/>
  <c r="AJ167" i="22"/>
  <c r="AL167" i="22" s="1"/>
  <c r="AN167" i="22" s="1"/>
  <c r="AJ113" i="22"/>
  <c r="AL113" i="22" s="1"/>
  <c r="AN113" i="22" s="1"/>
  <c r="AL304" i="22"/>
  <c r="AL330" i="22"/>
  <c r="AN330" i="22" s="1"/>
  <c r="AW316" i="22"/>
  <c r="AL336" i="22"/>
  <c r="AL273" i="22"/>
  <c r="AN273" i="22" s="1"/>
  <c r="AL346" i="22"/>
  <c r="AJ103" i="22"/>
  <c r="AL103" i="22" s="1"/>
  <c r="AN103" i="22" s="1"/>
  <c r="AL333" i="22"/>
  <c r="AN333" i="22" s="1"/>
  <c r="AL302" i="22"/>
  <c r="AS330" i="22"/>
  <c r="AU330" i="22" s="1"/>
  <c r="AW330" i="22" s="1"/>
  <c r="AL189" i="22"/>
  <c r="AN189" i="22" s="1"/>
  <c r="AL347" i="22"/>
  <c r="AL329" i="22"/>
  <c r="AN329" i="22" s="1"/>
  <c r="M287" i="22"/>
  <c r="AW323" i="22"/>
  <c r="AJ175" i="22"/>
  <c r="AL175" i="22" s="1"/>
  <c r="AJ133" i="22"/>
  <c r="AL133" i="22" s="1"/>
  <c r="AN133" i="22" s="1"/>
  <c r="C86" i="11"/>
  <c r="E86" i="11" s="1"/>
  <c r="G86" i="11" s="1"/>
  <c r="W205" i="22" l="1"/>
  <c r="AN205" i="22"/>
  <c r="AR205" i="22"/>
  <c r="AR200" i="22" s="1"/>
  <c r="AT194" i="22" s="1"/>
  <c r="AO203" i="22"/>
  <c r="AS203" i="22"/>
  <c r="AS205" i="22"/>
  <c r="AO205" i="22"/>
  <c r="AO204" i="22"/>
  <c r="AS204" i="22"/>
  <c r="W204" i="22"/>
  <c r="AN204" i="22"/>
  <c r="AF414" i="22"/>
  <c r="AB414" i="22" s="1"/>
  <c r="AD414" i="22" s="1"/>
  <c r="I86" i="11"/>
  <c r="AC325" i="22" s="1"/>
  <c r="Z297" i="22"/>
  <c r="AD298" i="22"/>
  <c r="J83" i="11"/>
  <c r="AV306" i="22"/>
  <c r="AX306" i="22"/>
  <c r="AV324" i="22"/>
  <c r="AX324" i="22"/>
  <c r="AM172" i="22"/>
  <c r="AV315" i="22"/>
  <c r="AX315" i="22"/>
  <c r="AM346" i="22"/>
  <c r="AM347" i="22"/>
  <c r="AM175" i="22"/>
  <c r="AL93" i="22"/>
  <c r="AM174" i="22"/>
  <c r="W201" i="22" l="1"/>
  <c r="AA63" i="22" s="1"/>
  <c r="AN200" i="22"/>
  <c r="AP194" i="22" s="1"/>
  <c r="AS200" i="22"/>
  <c r="AU195" i="22" s="1"/>
  <c r="AO200" i="22"/>
  <c r="AQ195" i="22" s="1"/>
  <c r="Z324" i="22"/>
  <c r="AD325" i="22"/>
  <c r="J86" i="11"/>
  <c r="R19" i="22" l="1"/>
  <c r="AB20" i="22" l="1"/>
  <c r="AD20" i="22" l="1"/>
  <c r="BF59" i="22" l="1"/>
  <c r="BF60" i="22" l="1"/>
  <c r="BF61" i="22" l="1"/>
  <c r="BE59" i="22" l="1"/>
  <c r="BF62" i="22"/>
  <c r="BE60" i="22" l="1"/>
  <c r="BE61" i="22" l="1"/>
  <c r="BE22" i="22" l="1"/>
  <c r="BE62" i="22"/>
  <c r="BE63" i="22" l="1"/>
  <c r="BE24" i="22"/>
  <c r="BE64" i="22" l="1"/>
  <c r="BF63" i="22"/>
  <c r="BF64" i="22" l="1"/>
  <c r="Z173" i="22"/>
  <c r="X192" i="22" l="1"/>
  <c r="N205" i="22"/>
  <c r="X205" i="22"/>
  <c r="P205" i="22" s="1"/>
  <c r="X204" i="22"/>
  <c r="P204" i="22" s="1"/>
  <c r="X203" i="22"/>
  <c r="P203" i="22" s="1"/>
  <c r="N204" i="22" l="1"/>
  <c r="N203" i="22"/>
  <c r="E77" i="11"/>
  <c r="AF63" i="22" s="1"/>
  <c r="D77" i="11"/>
  <c r="X202" i="22"/>
  <c r="Y192" i="22"/>
  <c r="G77" i="11" l="1"/>
  <c r="I77" i="11" s="1"/>
  <c r="AC203" i="22" s="1"/>
  <c r="Z203" i="22" s="1"/>
  <c r="F77" i="11"/>
  <c r="H77" i="11" s="1"/>
  <c r="AE63" i="22"/>
  <c r="P202" i="22"/>
  <c r="Q202" i="22" s="1"/>
  <c r="X201" i="22"/>
  <c r="N202" i="22"/>
  <c r="O202" i="22" s="1"/>
  <c r="J77" i="11" l="1"/>
  <c r="AC202" i="22"/>
  <c r="Y203" i="22" s="1"/>
  <c r="AG203" i="22"/>
  <c r="AB203" i="22" s="1"/>
  <c r="AD203" i="22" s="1"/>
  <c r="AB63" i="22"/>
  <c r="Z40" i="22" s="1"/>
  <c r="AF202" i="22"/>
  <c r="AB202" i="22" s="1"/>
  <c r="Y40" i="22"/>
  <c r="C44" i="22"/>
  <c r="C509" i="22" s="1"/>
  <c r="W504" i="22" s="1"/>
  <c r="C45" i="22"/>
  <c r="AF509" i="22" l="1"/>
  <c r="AN509" i="22"/>
  <c r="AN507" i="22" s="1"/>
  <c r="AP501" i="22" s="1"/>
  <c r="E517" i="22"/>
  <c r="W509" i="22" s="1"/>
  <c r="AC511" i="22" s="1"/>
  <c r="AB509" i="22" s="1"/>
  <c r="C375" i="22"/>
  <c r="C376" i="22"/>
  <c r="C377" i="22"/>
  <c r="C374" i="22"/>
  <c r="C386" i="22"/>
  <c r="C365" i="22"/>
  <c r="C367" i="22"/>
  <c r="C364" i="22"/>
  <c r="C385" i="22"/>
  <c r="C384" i="22"/>
  <c r="C366" i="22"/>
  <c r="C355" i="22"/>
  <c r="C356" i="22"/>
  <c r="C354" i="22"/>
  <c r="C387" i="22"/>
  <c r="C357" i="22"/>
  <c r="C162" i="22"/>
  <c r="C172" i="22"/>
  <c r="C163" i="22"/>
  <c r="C164" i="22"/>
  <c r="C165" i="22"/>
  <c r="C153" i="22"/>
  <c r="C184" i="22"/>
  <c r="C152" i="22"/>
  <c r="C174" i="22"/>
  <c r="C183" i="22"/>
  <c r="C154" i="22"/>
  <c r="C155" i="22"/>
  <c r="C185" i="22"/>
  <c r="C182" i="22"/>
  <c r="C173" i="22"/>
  <c r="C175" i="22"/>
  <c r="C425" i="22"/>
  <c r="C426" i="22"/>
  <c r="C427" i="22"/>
  <c r="C424" i="22"/>
  <c r="C437" i="22"/>
  <c r="C445" i="22"/>
  <c r="C415" i="22"/>
  <c r="C417" i="22"/>
  <c r="C444" i="22"/>
  <c r="C435" i="22"/>
  <c r="C446" i="22"/>
  <c r="C416" i="22"/>
  <c r="C447" i="22"/>
  <c r="C414" i="22"/>
  <c r="C434" i="22"/>
  <c r="C436" i="22"/>
  <c r="AD202" i="22"/>
  <c r="N517" i="22" l="1"/>
  <c r="AD509" i="22"/>
  <c r="C347" i="22"/>
  <c r="AR347" i="22" s="1"/>
  <c r="C405" i="22"/>
  <c r="W405" i="22" s="1"/>
  <c r="N405" i="22" s="1"/>
  <c r="C407" i="22"/>
  <c r="AN407" i="22" s="1"/>
  <c r="C406" i="22"/>
  <c r="AO406" i="22" s="1"/>
  <c r="C404" i="22"/>
  <c r="W404" i="22" s="1"/>
  <c r="N404" i="22" s="1"/>
  <c r="C346" i="22"/>
  <c r="AJ343" i="22" s="1"/>
  <c r="C345" i="22"/>
  <c r="AJ342" i="22" s="1"/>
  <c r="C344" i="22"/>
  <c r="AJ341" i="22" s="1"/>
  <c r="C144" i="22"/>
  <c r="AO144" i="22" s="1"/>
  <c r="C145" i="22"/>
  <c r="X145" i="22" s="1"/>
  <c r="P145" i="22" s="1"/>
  <c r="C143" i="22"/>
  <c r="AO143" i="22" s="1"/>
  <c r="C142" i="22"/>
  <c r="X142" i="22" s="1"/>
  <c r="AA67" i="22"/>
  <c r="Y44" i="22" s="1"/>
  <c r="N509" i="22"/>
  <c r="G517" i="22"/>
  <c r="Y17" i="22" s="1"/>
  <c r="Z21" i="22" s="1"/>
  <c r="AB21" i="22" s="1"/>
  <c r="W513" i="22"/>
  <c r="AN356" i="22"/>
  <c r="AN352" i="22" s="1"/>
  <c r="AS356" i="22"/>
  <c r="AS352" i="22" s="1"/>
  <c r="AO356" i="22"/>
  <c r="AO352" i="22" s="1"/>
  <c r="AR356" i="22"/>
  <c r="AR352" i="22" s="1"/>
  <c r="W356" i="22"/>
  <c r="X356" i="22"/>
  <c r="AK411" i="22"/>
  <c r="AJ411" i="22"/>
  <c r="AK423" i="22"/>
  <c r="AJ423" i="22"/>
  <c r="AK444" i="22"/>
  <c r="AJ444" i="22"/>
  <c r="AJ382" i="22"/>
  <c r="AK382" i="22"/>
  <c r="AK413" i="22"/>
  <c r="AJ413" i="22"/>
  <c r="AK161" i="22"/>
  <c r="AJ161" i="22"/>
  <c r="AL161" i="22" s="1"/>
  <c r="AJ170" i="22"/>
  <c r="AL170" i="22" s="1"/>
  <c r="AK170" i="22"/>
  <c r="D75" i="11"/>
  <c r="F75" i="11" s="1"/>
  <c r="H75" i="11" s="1"/>
  <c r="E75" i="11"/>
  <c r="G75" i="11" s="1"/>
  <c r="AJ179" i="22"/>
  <c r="AK179" i="22"/>
  <c r="AJ169" i="22"/>
  <c r="AK169" i="22"/>
  <c r="AJ433" i="22"/>
  <c r="AK433" i="22"/>
  <c r="AJ421" i="22"/>
  <c r="AK421" i="22"/>
  <c r="AK149" i="22"/>
  <c r="AJ149" i="22"/>
  <c r="AK352" i="22"/>
  <c r="AJ352" i="22"/>
  <c r="AJ150" i="22"/>
  <c r="AL150" i="22" s="1"/>
  <c r="AK150" i="22"/>
  <c r="E73" i="11"/>
  <c r="G73" i="11" s="1"/>
  <c r="I73" i="11" s="1"/>
  <c r="D73" i="11"/>
  <c r="F73" i="11" s="1"/>
  <c r="H73" i="11" s="1"/>
  <c r="AK422" i="22"/>
  <c r="AJ422" i="22"/>
  <c r="AK443" i="22"/>
  <c r="AJ443" i="22"/>
  <c r="AJ364" i="22"/>
  <c r="AK364" i="22"/>
  <c r="AK431" i="22"/>
  <c r="AJ431" i="22"/>
  <c r="AK424" i="22"/>
  <c r="AJ424" i="22"/>
  <c r="AK181" i="22"/>
  <c r="AJ181" i="22"/>
  <c r="AK184" i="22"/>
  <c r="AJ363" i="22"/>
  <c r="AK363" i="22"/>
  <c r="AJ381" i="22"/>
  <c r="AK381" i="22"/>
  <c r="AK361" i="22"/>
  <c r="AJ361" i="22"/>
  <c r="AK159" i="22"/>
  <c r="AJ159" i="22"/>
  <c r="AJ414" i="22"/>
  <c r="AK414" i="22"/>
  <c r="AJ152" i="22"/>
  <c r="AL152" i="22" s="1"/>
  <c r="AK152" i="22"/>
  <c r="AI155" i="22"/>
  <c r="AK155" i="22"/>
  <c r="AJ354" i="22"/>
  <c r="AK354" i="22"/>
  <c r="AJ371" i="22"/>
  <c r="AK371" i="22"/>
  <c r="AJ162" i="22"/>
  <c r="AK162" i="22"/>
  <c r="AK172" i="22"/>
  <c r="AJ172" i="22"/>
  <c r="AL172" i="22" s="1"/>
  <c r="AI175" i="22"/>
  <c r="AK175" i="22"/>
  <c r="AJ160" i="22"/>
  <c r="AL160" i="22" s="1"/>
  <c r="AK160" i="22"/>
  <c r="D74" i="11"/>
  <c r="F74" i="11" s="1"/>
  <c r="H74" i="11" s="1"/>
  <c r="E74" i="11"/>
  <c r="G74" i="11" s="1"/>
  <c r="AJ432" i="22"/>
  <c r="AK432" i="22"/>
  <c r="AK362" i="22"/>
  <c r="AJ362" i="22"/>
  <c r="AK441" i="22"/>
  <c r="AJ441" i="22"/>
  <c r="AK182" i="22"/>
  <c r="AJ182" i="22"/>
  <c r="AJ383" i="22"/>
  <c r="AK383" i="22"/>
  <c r="AK412" i="22"/>
  <c r="AJ412" i="22"/>
  <c r="AJ151" i="22"/>
  <c r="AL151" i="22" s="1"/>
  <c r="AK151" i="22"/>
  <c r="AI154" i="22"/>
  <c r="AK154" i="22"/>
  <c r="AK384" i="22"/>
  <c r="AJ384" i="22"/>
  <c r="AJ374" i="22"/>
  <c r="AK374" i="22"/>
  <c r="AJ442" i="22"/>
  <c r="AK442" i="22"/>
  <c r="AK180" i="22"/>
  <c r="AJ180" i="22"/>
  <c r="AL180" i="22" s="1"/>
  <c r="D76" i="11"/>
  <c r="F76" i="11" s="1"/>
  <c r="H76" i="11" s="1"/>
  <c r="E76" i="11"/>
  <c r="G76" i="11" s="1"/>
  <c r="I76" i="11" s="1"/>
  <c r="AC183" i="22" s="1"/>
  <c r="AK351" i="22"/>
  <c r="AJ351" i="22"/>
  <c r="AK373" i="22"/>
  <c r="AJ373" i="22"/>
  <c r="C97" i="22"/>
  <c r="C109" i="22"/>
  <c r="C87" i="22"/>
  <c r="C110" i="22"/>
  <c r="C88" i="22"/>
  <c r="C120" i="22"/>
  <c r="C121" i="22"/>
  <c r="C122" i="22"/>
  <c r="C100" i="22"/>
  <c r="C111" i="22"/>
  <c r="C89" i="22"/>
  <c r="C108" i="22"/>
  <c r="C99" i="22"/>
  <c r="C123" i="22"/>
  <c r="C119" i="22"/>
  <c r="C112" i="22"/>
  <c r="C90" i="22"/>
  <c r="C86" i="22"/>
  <c r="C98" i="22"/>
  <c r="C101" i="22"/>
  <c r="AJ434" i="22"/>
  <c r="AK434" i="22"/>
  <c r="AJ171" i="22"/>
  <c r="AL171" i="22" s="1"/>
  <c r="AK171" i="22"/>
  <c r="AK353" i="22"/>
  <c r="AJ353" i="22"/>
  <c r="AJ372" i="22"/>
  <c r="AK372" i="22"/>
  <c r="AO287" i="22"/>
  <c r="AN287" i="22"/>
  <c r="AR287" i="22"/>
  <c r="AR285" i="22" s="1"/>
  <c r="AT279" i="22" s="1"/>
  <c r="AN288" i="22"/>
  <c r="AS287" i="22"/>
  <c r="AS285" i="22" s="1"/>
  <c r="AU280" i="22" s="1"/>
  <c r="AO288" i="22"/>
  <c r="W287" i="22"/>
  <c r="W286" i="22" s="1"/>
  <c r="AK284" i="22"/>
  <c r="AK274" i="22" s="1"/>
  <c r="AK34" i="22" s="1"/>
  <c r="AJ284" i="22"/>
  <c r="E82" i="11"/>
  <c r="G82" i="11" s="1"/>
  <c r="I82" i="11" s="1"/>
  <c r="AC288" i="22" s="1"/>
  <c r="Z287" i="22" s="1"/>
  <c r="D82" i="11"/>
  <c r="AE64" i="22" s="1"/>
  <c r="X287" i="22"/>
  <c r="P287" i="22" s="1"/>
  <c r="Q287" i="22" s="1"/>
  <c r="AK344" i="22" l="1"/>
  <c r="AK334" i="22" s="1"/>
  <c r="W344" i="22"/>
  <c r="N344" i="22" s="1"/>
  <c r="AR344" i="22"/>
  <c r="AN344" i="22"/>
  <c r="W87" i="22"/>
  <c r="N87" i="22" s="1"/>
  <c r="AR87" i="22"/>
  <c r="AN87" i="22"/>
  <c r="W90" i="22"/>
  <c r="N90" i="22" s="1"/>
  <c r="AR90" i="22"/>
  <c r="AN90" i="22"/>
  <c r="C76" i="22"/>
  <c r="AK73" i="22" s="1"/>
  <c r="C79" i="22"/>
  <c r="W79" i="22" s="1"/>
  <c r="N79" i="22" s="1"/>
  <c r="C78" i="22"/>
  <c r="C77" i="22"/>
  <c r="AJ74" i="22" s="1"/>
  <c r="C75" i="22"/>
  <c r="AJ72" i="22" s="1"/>
  <c r="AK403" i="22"/>
  <c r="AK393" i="22" s="1"/>
  <c r="AR345" i="22"/>
  <c r="AN347" i="22"/>
  <c r="W347" i="22"/>
  <c r="N347" i="22" s="1"/>
  <c r="W345" i="22"/>
  <c r="N345" i="22" s="1"/>
  <c r="AN345" i="22"/>
  <c r="AD21" i="22"/>
  <c r="BJ8" i="22"/>
  <c r="O509" i="22"/>
  <c r="W346" i="22"/>
  <c r="N346" i="22" s="1"/>
  <c r="X346" i="22"/>
  <c r="P346" i="22" s="1"/>
  <c r="W406" i="22"/>
  <c r="N406" i="22" s="1"/>
  <c r="X406" i="22"/>
  <c r="P406" i="22" s="1"/>
  <c r="AS406" i="22"/>
  <c r="W142" i="22"/>
  <c r="N142" i="22" s="1"/>
  <c r="AO346" i="22"/>
  <c r="AJ139" i="22"/>
  <c r="AJ128" i="22" s="1"/>
  <c r="AL128" i="22" s="1"/>
  <c r="AN128" i="22" s="1"/>
  <c r="AS142" i="22"/>
  <c r="AS346" i="22"/>
  <c r="AK343" i="22"/>
  <c r="AK333" i="22" s="1"/>
  <c r="AK139" i="22"/>
  <c r="AK128" i="22" s="1"/>
  <c r="AR142" i="22"/>
  <c r="AN346" i="22"/>
  <c r="AR346" i="22"/>
  <c r="X405" i="22"/>
  <c r="P405" i="22" s="1"/>
  <c r="AS405" i="22"/>
  <c r="P356" i="22"/>
  <c r="Q354" i="22" s="1"/>
  <c r="X353" i="22"/>
  <c r="AG355" i="22" s="1"/>
  <c r="AB355" i="22" s="1"/>
  <c r="AD355" i="22" s="1"/>
  <c r="AO405" i="22"/>
  <c r="AN405" i="22"/>
  <c r="N356" i="22"/>
  <c r="O354" i="22" s="1"/>
  <c r="W353" i="22"/>
  <c r="AF354" i="22" s="1"/>
  <c r="AB354" i="22" s="1"/>
  <c r="AD354" i="22" s="1"/>
  <c r="AN142" i="22"/>
  <c r="AR405" i="22"/>
  <c r="AJ402" i="22"/>
  <c r="AJ392" i="22" s="1"/>
  <c r="AO142" i="22"/>
  <c r="AK402" i="22"/>
  <c r="AK392" i="22" s="1"/>
  <c r="AO344" i="22"/>
  <c r="AS344" i="22"/>
  <c r="X344" i="22"/>
  <c r="P344" i="22" s="1"/>
  <c r="AS347" i="22"/>
  <c r="X347" i="22"/>
  <c r="P347" i="22" s="1"/>
  <c r="X345" i="22"/>
  <c r="P345" i="22" s="1"/>
  <c r="AO347" i="22"/>
  <c r="AS345" i="22"/>
  <c r="X393" i="22"/>
  <c r="AO345" i="22"/>
  <c r="Y393" i="22"/>
  <c r="AS404" i="22"/>
  <c r="AO404" i="22"/>
  <c r="AK342" i="22"/>
  <c r="AK332" i="22" s="1"/>
  <c r="W145" i="22"/>
  <c r="N145" i="22" s="1"/>
  <c r="X404" i="22"/>
  <c r="P404" i="22" s="1"/>
  <c r="AJ403" i="22"/>
  <c r="AJ393" i="22" s="1"/>
  <c r="AN406" i="22"/>
  <c r="AR406" i="22"/>
  <c r="AJ401" i="22"/>
  <c r="AR404" i="22"/>
  <c r="AK401" i="22"/>
  <c r="AK391" i="22" s="1"/>
  <c r="AN404" i="22"/>
  <c r="AJ404" i="22"/>
  <c r="AJ394" i="22" s="1"/>
  <c r="AJ142" i="22"/>
  <c r="AJ131" i="22" s="1"/>
  <c r="AL131" i="22" s="1"/>
  <c r="AN131" i="22" s="1"/>
  <c r="W407" i="22"/>
  <c r="N407" i="22" s="1"/>
  <c r="AO145" i="22"/>
  <c r="AR145" i="22"/>
  <c r="AK142" i="22"/>
  <c r="AK131" i="22" s="1"/>
  <c r="AN145" i="22"/>
  <c r="AS145" i="22"/>
  <c r="AR407" i="22"/>
  <c r="AJ344" i="22"/>
  <c r="AJ345" i="22" s="1"/>
  <c r="AK341" i="22"/>
  <c r="AK331" i="22" s="1"/>
  <c r="AK404" i="22"/>
  <c r="AK394" i="22" s="1"/>
  <c r="AO407" i="22"/>
  <c r="X407" i="22"/>
  <c r="P407" i="22" s="1"/>
  <c r="AS407" i="22"/>
  <c r="AJ355" i="22"/>
  <c r="AK355" i="22"/>
  <c r="AR89" i="22"/>
  <c r="W89" i="22"/>
  <c r="N89" i="22" s="1"/>
  <c r="AN89" i="22"/>
  <c r="AS89" i="22"/>
  <c r="AO89" i="22"/>
  <c r="X89" i="22"/>
  <c r="P89" i="22" s="1"/>
  <c r="X90" i="22"/>
  <c r="P90" i="22" s="1"/>
  <c r="AO90" i="22"/>
  <c r="AS90" i="22"/>
  <c r="AS87" i="22"/>
  <c r="X87" i="22"/>
  <c r="P87" i="22" s="1"/>
  <c r="AO87" i="22"/>
  <c r="AO86" i="22"/>
  <c r="AS86" i="22"/>
  <c r="AR86" i="22"/>
  <c r="AN86" i="22"/>
  <c r="X86" i="22"/>
  <c r="W86" i="22"/>
  <c r="AR88" i="22"/>
  <c r="AN88" i="22"/>
  <c r="AS88" i="22"/>
  <c r="AO88" i="22"/>
  <c r="X88" i="22"/>
  <c r="P88" i="22" s="1"/>
  <c r="W88" i="22"/>
  <c r="N88" i="22" s="1"/>
  <c r="AJ445" i="22"/>
  <c r="AN144" i="22"/>
  <c r="X144" i="22"/>
  <c r="P144" i="22" s="1"/>
  <c r="W144" i="22"/>
  <c r="N144" i="22" s="1"/>
  <c r="AR144" i="22"/>
  <c r="AS144" i="22"/>
  <c r="AK141" i="22"/>
  <c r="AK130" i="22" s="1"/>
  <c r="AJ141" i="22"/>
  <c r="AJ130" i="22" s="1"/>
  <c r="AL130" i="22" s="1"/>
  <c r="AN130" i="22" s="1"/>
  <c r="E72" i="11"/>
  <c r="G72" i="11" s="1"/>
  <c r="I72" i="11" s="1"/>
  <c r="AJ140" i="22"/>
  <c r="AJ129" i="22" s="1"/>
  <c r="AL129" i="22" s="1"/>
  <c r="AN129" i="22" s="1"/>
  <c r="X143" i="22"/>
  <c r="P143" i="22" s="1"/>
  <c r="AK445" i="22"/>
  <c r="D72" i="11"/>
  <c r="AE62" i="22" s="1"/>
  <c r="AR143" i="22"/>
  <c r="AS143" i="22"/>
  <c r="AK86" i="22"/>
  <c r="AJ86" i="22"/>
  <c r="AK425" i="22"/>
  <c r="Z183" i="22"/>
  <c r="AD183" i="22"/>
  <c r="Y153" i="22"/>
  <c r="AC152" i="22"/>
  <c r="AD152" i="22" s="1"/>
  <c r="J73" i="11"/>
  <c r="AK140" i="22"/>
  <c r="AK129" i="22" s="1"/>
  <c r="AN143" i="22"/>
  <c r="W143" i="22"/>
  <c r="N143" i="22" s="1"/>
  <c r="AK435" i="22"/>
  <c r="AJ108" i="22"/>
  <c r="AK108" i="22"/>
  <c r="AJ425" i="22"/>
  <c r="AK118" i="22"/>
  <c r="AJ118" i="22"/>
  <c r="E71" i="11"/>
  <c r="G71" i="11" s="1"/>
  <c r="I71" i="11" s="1"/>
  <c r="D71" i="11"/>
  <c r="F71" i="11" s="1"/>
  <c r="H71" i="11" s="1"/>
  <c r="AJ87" i="22"/>
  <c r="AK87" i="22"/>
  <c r="AJ85" i="22"/>
  <c r="AK85" i="22"/>
  <c r="E68" i="11"/>
  <c r="G68" i="11" s="1"/>
  <c r="I68" i="11" s="1"/>
  <c r="D68" i="11"/>
  <c r="F68" i="11" s="1"/>
  <c r="H68" i="11" s="1"/>
  <c r="AK183" i="22"/>
  <c r="AJ109" i="22"/>
  <c r="AK109" i="22"/>
  <c r="AK107" i="22"/>
  <c r="AJ107" i="22"/>
  <c r="E70" i="11"/>
  <c r="G70" i="11" s="1"/>
  <c r="I70" i="11" s="1"/>
  <c r="D70" i="11"/>
  <c r="F70" i="11" s="1"/>
  <c r="H70" i="11" s="1"/>
  <c r="AK375" i="22"/>
  <c r="AJ435" i="22"/>
  <c r="AJ183" i="22"/>
  <c r="AL179" i="22"/>
  <c r="AJ98" i="22"/>
  <c r="AK98" i="22"/>
  <c r="AJ119" i="22"/>
  <c r="AK119" i="22"/>
  <c r="Z153" i="22"/>
  <c r="AC153" i="22"/>
  <c r="AD153" i="22" s="1"/>
  <c r="AJ173" i="22"/>
  <c r="AL173" i="22" s="1"/>
  <c r="AL169" i="22"/>
  <c r="AK163" i="22"/>
  <c r="AJ333" i="22"/>
  <c r="AJ116" i="22"/>
  <c r="AK116" i="22"/>
  <c r="AJ84" i="22"/>
  <c r="AK84" i="22"/>
  <c r="AJ375" i="22"/>
  <c r="AJ365" i="22"/>
  <c r="AC182" i="22"/>
  <c r="J76" i="11"/>
  <c r="AJ163" i="22"/>
  <c r="AL159" i="22"/>
  <c r="AK120" i="22"/>
  <c r="AJ120" i="22"/>
  <c r="AK106" i="22"/>
  <c r="AJ106" i="22"/>
  <c r="AC162" i="22"/>
  <c r="J74" i="11"/>
  <c r="AK365" i="22"/>
  <c r="AC172" i="22"/>
  <c r="J75" i="11"/>
  <c r="AJ331" i="22"/>
  <c r="AL331" i="22" s="1"/>
  <c r="AN331" i="22" s="1"/>
  <c r="AJ83" i="22"/>
  <c r="AK83" i="22"/>
  <c r="AK117" i="22"/>
  <c r="AJ117" i="22"/>
  <c r="AJ332" i="22"/>
  <c r="AL332" i="22" s="1"/>
  <c r="AN332" i="22" s="1"/>
  <c r="AK96" i="22"/>
  <c r="AJ96" i="22"/>
  <c r="D69" i="11"/>
  <c r="F69" i="11" s="1"/>
  <c r="E69" i="11"/>
  <c r="G69" i="11" s="1"/>
  <c r="AK94" i="22"/>
  <c r="AJ94" i="22"/>
  <c r="AK385" i="22"/>
  <c r="AJ153" i="22"/>
  <c r="AL153" i="22" s="1"/>
  <c r="AL149" i="22"/>
  <c r="AJ415" i="22"/>
  <c r="AJ97" i="22"/>
  <c r="AK97" i="22"/>
  <c r="AK95" i="22"/>
  <c r="AJ95" i="22"/>
  <c r="AK173" i="22"/>
  <c r="AJ105" i="22"/>
  <c r="AK105" i="22"/>
  <c r="AJ385" i="22"/>
  <c r="AK153" i="22"/>
  <c r="AK415" i="22"/>
  <c r="AN285" i="22"/>
  <c r="AP279" i="22" s="1"/>
  <c r="AO285" i="22"/>
  <c r="AQ280" i="22" s="1"/>
  <c r="AJ274" i="22"/>
  <c r="AK33" i="22" s="1"/>
  <c r="F82" i="11"/>
  <c r="H82" i="11" s="1"/>
  <c r="AC287" i="22" s="1"/>
  <c r="Y287" i="22" s="1"/>
  <c r="AF64" i="22"/>
  <c r="N287" i="22"/>
  <c r="O287" i="22" s="1"/>
  <c r="X286" i="22"/>
  <c r="AB64" i="22" s="1"/>
  <c r="Z42" i="22" s="1"/>
  <c r="AF287" i="22"/>
  <c r="AB287" i="22" s="1"/>
  <c r="AA64" i="22"/>
  <c r="Y42" i="22" s="1"/>
  <c r="P142" i="22"/>
  <c r="AR342" i="22" l="1"/>
  <c r="AT336" i="22" s="1"/>
  <c r="O344" i="22"/>
  <c r="AN342" i="22"/>
  <c r="AP336" i="22" s="1"/>
  <c r="AR79" i="22"/>
  <c r="AN79" i="22"/>
  <c r="AN76" i="22"/>
  <c r="W76" i="22"/>
  <c r="N76" i="22" s="1"/>
  <c r="AR76" i="22"/>
  <c r="BJ9" i="22"/>
  <c r="BJ14" i="22"/>
  <c r="BJ18" i="22"/>
  <c r="BJ13" i="22"/>
  <c r="BJ12" i="22"/>
  <c r="BJ11" i="22"/>
  <c r="BJ15" i="22"/>
  <c r="BJ10" i="22"/>
  <c r="BJ16" i="22"/>
  <c r="BJ17" i="22"/>
  <c r="O404" i="22"/>
  <c r="W343" i="22"/>
  <c r="AF344" i="22" s="1"/>
  <c r="AB344" i="22" s="1"/>
  <c r="AD344" i="22" s="1"/>
  <c r="AS342" i="22"/>
  <c r="AU337" i="22" s="1"/>
  <c r="AO140" i="22"/>
  <c r="AQ135" i="22" s="1"/>
  <c r="AO79" i="22"/>
  <c r="AS79" i="22"/>
  <c r="AO342" i="22"/>
  <c r="AQ337" i="22" s="1"/>
  <c r="X343" i="22"/>
  <c r="AB65" i="22" s="1"/>
  <c r="Z43" i="22" s="1"/>
  <c r="Q344" i="22"/>
  <c r="X79" i="22"/>
  <c r="P79" i="22" s="1"/>
  <c r="AS76" i="22"/>
  <c r="X76" i="22"/>
  <c r="P76" i="22" s="1"/>
  <c r="AO402" i="22"/>
  <c r="AQ397" i="22" s="1"/>
  <c r="AO76" i="22"/>
  <c r="AS402" i="22"/>
  <c r="AU397" i="22" s="1"/>
  <c r="W403" i="22"/>
  <c r="AF404" i="22" s="1"/>
  <c r="AB404" i="22" s="1"/>
  <c r="AD404" i="22" s="1"/>
  <c r="AJ405" i="22"/>
  <c r="Q404" i="22"/>
  <c r="AN402" i="22"/>
  <c r="AP396" i="22" s="1"/>
  <c r="AR402" i="22"/>
  <c r="AT396" i="22" s="1"/>
  <c r="AJ391" i="22"/>
  <c r="AJ395" i="22" s="1"/>
  <c r="AE33" i="22" s="1"/>
  <c r="AK345" i="22"/>
  <c r="AB337" i="22" s="1"/>
  <c r="AK405" i="22"/>
  <c r="AK72" i="22"/>
  <c r="AK61" i="22" s="1"/>
  <c r="AJ334" i="22"/>
  <c r="AJ335" i="22" s="1"/>
  <c r="AL33" i="22" s="1"/>
  <c r="X75" i="22"/>
  <c r="P75" i="22" s="1"/>
  <c r="AJ73" i="22"/>
  <c r="AJ62" i="22" s="1"/>
  <c r="W75" i="22"/>
  <c r="N75" i="22" s="1"/>
  <c r="AO75" i="22"/>
  <c r="AN140" i="22"/>
  <c r="AP134" i="22" s="1"/>
  <c r="AR77" i="22"/>
  <c r="AK76" i="22"/>
  <c r="AK65" i="22" s="1"/>
  <c r="AR75" i="22"/>
  <c r="AS75" i="22"/>
  <c r="AN75" i="22"/>
  <c r="AN77" i="22"/>
  <c r="X77" i="22"/>
  <c r="P77" i="22" s="1"/>
  <c r="AO77" i="22"/>
  <c r="AJ76" i="22"/>
  <c r="AJ65" i="22" s="1"/>
  <c r="X403" i="22"/>
  <c r="AG405" i="22" s="1"/>
  <c r="AB405" i="22" s="1"/>
  <c r="AD405" i="22" s="1"/>
  <c r="N86" i="22"/>
  <c r="O86" i="22" s="1"/>
  <c r="W85" i="22"/>
  <c r="AF86" i="22" s="1"/>
  <c r="AB86" i="22" s="1"/>
  <c r="P86" i="22"/>
  <c r="Q86" i="22" s="1"/>
  <c r="X85" i="22"/>
  <c r="AG87" i="22" s="1"/>
  <c r="AB87" i="22" s="1"/>
  <c r="W77" i="22"/>
  <c r="N77" i="22" s="1"/>
  <c r="AN84" i="22"/>
  <c r="AS84" i="22"/>
  <c r="AO84" i="22"/>
  <c r="AR84" i="22"/>
  <c r="AS77" i="22"/>
  <c r="D67" i="11"/>
  <c r="AE61" i="22" s="1"/>
  <c r="AE65" i="22" s="1"/>
  <c r="AE67" i="22" s="1"/>
  <c r="AE69" i="22" s="1"/>
  <c r="AE70" i="22" s="1"/>
  <c r="E67" i="11"/>
  <c r="G67" i="11" s="1"/>
  <c r="I67" i="11" s="1"/>
  <c r="AC76" i="22" s="1"/>
  <c r="AK74" i="22"/>
  <c r="AK63" i="22" s="1"/>
  <c r="AK335" i="22"/>
  <c r="AL34" i="22" s="1"/>
  <c r="AK395" i="22"/>
  <c r="AE34" i="22" s="1"/>
  <c r="AR140" i="22"/>
  <c r="AT134" i="22" s="1"/>
  <c r="AJ61" i="22"/>
  <c r="AF62" i="22"/>
  <c r="AS140" i="22"/>
  <c r="AU135" i="22" s="1"/>
  <c r="AJ143" i="22"/>
  <c r="X141" i="22"/>
  <c r="AG143" i="22" s="1"/>
  <c r="AB143" i="22" s="1"/>
  <c r="F72" i="11"/>
  <c r="H72" i="11" s="1"/>
  <c r="AC142" i="22" s="1"/>
  <c r="AK132" i="22"/>
  <c r="AH34" i="22" s="1"/>
  <c r="AJ63" i="22"/>
  <c r="AK88" i="22"/>
  <c r="O142" i="22"/>
  <c r="AJ132" i="22"/>
  <c r="AH33" i="22" s="1"/>
  <c r="W141" i="22"/>
  <c r="AF142" i="22" s="1"/>
  <c r="AB142" i="22" s="1"/>
  <c r="Y163" i="22"/>
  <c r="AD162" i="22"/>
  <c r="Y110" i="22"/>
  <c r="AC108" i="22"/>
  <c r="AD108" i="22" s="1"/>
  <c r="J70" i="11"/>
  <c r="Z110" i="22"/>
  <c r="AC109" i="22"/>
  <c r="AD109" i="22" s="1"/>
  <c r="AK62" i="22"/>
  <c r="AK110" i="22"/>
  <c r="AJ88" i="22"/>
  <c r="AL83" i="22"/>
  <c r="AJ110" i="22"/>
  <c r="AL105" i="22"/>
  <c r="AJ99" i="22"/>
  <c r="AL94" i="22"/>
  <c r="AK121" i="22"/>
  <c r="Y183" i="22"/>
  <c r="AD182" i="22"/>
  <c r="Y121" i="22"/>
  <c r="AC119" i="22"/>
  <c r="AD119" i="22" s="1"/>
  <c r="J71" i="11"/>
  <c r="W78" i="22"/>
  <c r="N78" i="22" s="1"/>
  <c r="AO78" i="22"/>
  <c r="AS78" i="22"/>
  <c r="X78" i="22"/>
  <c r="P78" i="22" s="1"/>
  <c r="AR78" i="22"/>
  <c r="AJ75" i="22"/>
  <c r="AJ64" i="22" s="1"/>
  <c r="AK75" i="22"/>
  <c r="AK64" i="22" s="1"/>
  <c r="AN78" i="22"/>
  <c r="Z121" i="22"/>
  <c r="AC120" i="22"/>
  <c r="AD120" i="22" s="1"/>
  <c r="AK143" i="22"/>
  <c r="AK99" i="22"/>
  <c r="AJ121" i="22"/>
  <c r="AL116" i="22"/>
  <c r="AC86" i="22"/>
  <c r="J68" i="11"/>
  <c r="Y88" i="22"/>
  <c r="Y173" i="22"/>
  <c r="AD172" i="22"/>
  <c r="Z88" i="22"/>
  <c r="AC87" i="22"/>
  <c r="Q142" i="22"/>
  <c r="AL274" i="22"/>
  <c r="AN274" i="22" s="1"/>
  <c r="J82" i="11"/>
  <c r="AG288" i="22"/>
  <c r="AB288" i="22" s="1"/>
  <c r="AD288" i="22" s="1"/>
  <c r="AD287" i="22"/>
  <c r="AB336" i="22"/>
  <c r="AC143" i="22"/>
  <c r="Z143" i="22"/>
  <c r="BK49" i="22" l="1"/>
  <c r="BW48" i="22" s="1"/>
  <c r="AA65" i="22"/>
  <c r="Y43" i="22" s="1"/>
  <c r="AG345" i="22"/>
  <c r="AB345" i="22" s="1"/>
  <c r="AD345" i="22" s="1"/>
  <c r="AA66" i="22"/>
  <c r="Y45" i="22" s="1"/>
  <c r="AN73" i="22"/>
  <c r="AP67" i="22" s="1"/>
  <c r="AA72" i="22" s="1"/>
  <c r="Q75" i="22"/>
  <c r="AR73" i="22"/>
  <c r="AT67" i="22" s="1"/>
  <c r="Y51" i="22" s="1"/>
  <c r="O42" i="22" s="1"/>
  <c r="AC43" i="22"/>
  <c r="AB66" i="22"/>
  <c r="Z45" i="22" s="1"/>
  <c r="AO73" i="22"/>
  <c r="AQ68" i="22" s="1"/>
  <c r="AD86" i="22"/>
  <c r="F67" i="11"/>
  <c r="H67" i="11" s="1"/>
  <c r="J67" i="11" s="1"/>
  <c r="AS73" i="22"/>
  <c r="AU68" i="22" s="1"/>
  <c r="Y52" i="22" s="1"/>
  <c r="R42" i="22" s="1"/>
  <c r="AD87" i="22"/>
  <c r="AF61" i="22"/>
  <c r="AF65" i="22" s="1"/>
  <c r="AF67" i="22" s="1"/>
  <c r="AF69" i="22" s="1"/>
  <c r="Z77" i="22"/>
  <c r="AD43" i="22"/>
  <c r="AA62" i="22"/>
  <c r="Y39" i="22" s="1"/>
  <c r="AB62" i="22"/>
  <c r="Z39" i="22" s="1"/>
  <c r="AJ77" i="22"/>
  <c r="J72" i="11"/>
  <c r="Y143" i="22"/>
  <c r="AL132" i="22"/>
  <c r="AN132" i="22" s="1"/>
  <c r="AJ66" i="22"/>
  <c r="AG33" i="22" s="1"/>
  <c r="O75" i="22"/>
  <c r="AK66" i="22"/>
  <c r="AG34" i="22" s="1"/>
  <c r="W74" i="22"/>
  <c r="AA61" i="22" s="1"/>
  <c r="X74" i="22"/>
  <c r="AG76" i="22" s="1"/>
  <c r="AK77" i="22"/>
  <c r="AE71" i="22"/>
  <c r="AD143" i="22"/>
  <c r="AD142" i="22"/>
  <c r="AC75" i="22" l="1"/>
  <c r="Y77" i="22"/>
  <c r="AE36" i="22"/>
  <c r="AB76" i="22"/>
  <c r="AD76" i="22" s="1"/>
  <c r="AF75" i="22"/>
  <c r="BI19" i="22" s="1"/>
  <c r="AB61" i="22"/>
  <c r="Z38" i="22" s="1"/>
  <c r="AM33" i="22"/>
  <c r="AJ45" i="22" s="1"/>
  <c r="AM34" i="22"/>
  <c r="AL45" i="22" s="1"/>
  <c r="Y38" i="22"/>
  <c r="Y48" i="22" s="1"/>
  <c r="AA71" i="22"/>
  <c r="O34" i="22" s="1"/>
  <c r="BI20" i="22"/>
  <c r="AF70" i="22"/>
  <c r="AF20" i="22" s="1"/>
  <c r="AG20" i="22" s="1"/>
  <c r="AF21" i="22"/>
  <c r="AG21" i="22" s="1"/>
  <c r="AB75" i="22" l="1"/>
  <c r="AD75" i="22" s="1"/>
  <c r="AA55" i="22"/>
  <c r="O49" i="22" s="1"/>
  <c r="BI8" i="22"/>
  <c r="BJ49" i="22" s="1"/>
  <c r="BL49" i="22" l="1"/>
  <c r="O26" i="22" s="1"/>
  <c r="BV48" i="22"/>
  <c r="M509" i="22"/>
  <c r="M511" i="22" s="1"/>
  <c r="X504" i="22" l="1"/>
  <c r="AO509" i="22"/>
  <c r="AO507" i="22" s="1"/>
  <c r="AQ502" i="22" s="1"/>
  <c r="AB72" i="22" s="1"/>
  <c r="J517" i="22"/>
  <c r="P509" i="22" l="1"/>
  <c r="AG510" i="22"/>
  <c r="AB67" i="22"/>
  <c r="AB71" i="22" s="1"/>
  <c r="R34" i="22" s="1"/>
  <c r="W512" i="22"/>
  <c r="X509" i="22"/>
  <c r="AC512" i="22" s="1"/>
  <c r="AB510" i="22" s="1"/>
  <c r="L517" i="22"/>
  <c r="Y7" i="22" s="1"/>
  <c r="Z14" i="22" s="1"/>
  <c r="AB14" i="22" s="1"/>
  <c r="Z44" i="22" l="1"/>
  <c r="Z48" i="22" s="1"/>
  <c r="BM8" i="22"/>
  <c r="AD14" i="22"/>
  <c r="P517" i="22"/>
  <c r="Q509" i="22" s="1"/>
  <c r="AB55" i="22"/>
  <c r="R49" i="22" s="1"/>
  <c r="BL19" i="22" l="1"/>
  <c r="BL8" i="22" s="1"/>
  <c r="BJ50" i="22" s="1"/>
  <c r="AD510" i="22"/>
  <c r="BM10" i="22"/>
  <c r="BM14" i="22"/>
  <c r="BM11" i="22"/>
  <c r="BM9" i="22"/>
  <c r="BM13" i="22"/>
  <c r="BM15" i="22"/>
  <c r="BM17" i="22"/>
  <c r="BM16" i="22"/>
  <c r="BM18" i="22"/>
  <c r="BK50" i="22" s="1"/>
  <c r="BW49" i="22" s="1"/>
  <c r="BM12" i="22"/>
  <c r="BL50" i="22" l="1"/>
  <c r="R26" i="22" s="1"/>
  <c r="BV4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Nicolai Hou Thomsen</author>
    <author>Lukas Blander Enevoldsen</author>
    <author>Julie Skov</author>
    <author>Nicolaj Ladefoged Bøgh</author>
  </authors>
  <commentList>
    <comment ref="I21" authorId="0" shapeId="0" xr:uid="{2DAFB44F-6988-4215-B536-937BE5C852CF}">
      <text>
        <r>
          <rPr>
            <b/>
            <sz val="12"/>
            <color indexed="81"/>
            <rFont val="Tahoma"/>
            <family val="2"/>
          </rPr>
          <t xml:space="preserve">Antal Etager
</t>
        </r>
        <r>
          <rPr>
            <sz val="12"/>
            <color indexed="81"/>
            <rFont val="Tahoma"/>
            <family val="2"/>
          </rPr>
          <t>Vær opmærksom på at værktøjet ikke er designet til at arbejde med højhus da der ikke tages højde det øget materiale forbrug i den bærende konstruktion der kommer ved de øgede krav for bygningens bæreevne.</t>
        </r>
        <r>
          <rPr>
            <b/>
            <sz val="12"/>
            <color indexed="81"/>
            <rFont val="Tahoma"/>
            <family val="2"/>
          </rPr>
          <t xml:space="preserve"> 
</t>
        </r>
        <r>
          <rPr>
            <sz val="12"/>
            <color indexed="81"/>
            <rFont val="Tahoma"/>
            <family val="2"/>
          </rPr>
          <t>Det anbefales derfor at værktøjet primært benyttes ved lavere bebyggelse mellem 1-5 etager.</t>
        </r>
      </text>
    </comment>
    <comment ref="J21" authorId="0" shapeId="0" xr:uid="{436EAFB3-C831-4060-AE29-6F8C3D35AB06}">
      <text>
        <r>
          <rPr>
            <b/>
            <sz val="12"/>
            <color indexed="81"/>
            <rFont val="Tahoma"/>
            <family val="2"/>
          </rPr>
          <t>Referenceareal</t>
        </r>
        <r>
          <rPr>
            <sz val="12"/>
            <color indexed="81"/>
            <rFont val="Tahoma"/>
            <family val="2"/>
          </rPr>
          <t xml:space="preserve">/Etageareal beregnes ved sammenlægning af </t>
        </r>
        <r>
          <rPr>
            <b/>
            <sz val="12"/>
            <color indexed="81"/>
            <rFont val="Tahoma"/>
            <family val="2"/>
          </rPr>
          <t>bruttoarealerne af samtlige etager</t>
        </r>
        <r>
          <rPr>
            <sz val="12"/>
            <color indexed="81"/>
            <rFont val="Tahoma"/>
            <family val="2"/>
          </rPr>
          <t xml:space="preserve">, inklusiv eventuel kælder.
For yderligere information se </t>
        </r>
        <r>
          <rPr>
            <b/>
            <sz val="12"/>
            <color indexed="81"/>
            <rFont val="Tahoma"/>
            <family val="2"/>
          </rPr>
          <t>BR18</t>
        </r>
        <r>
          <rPr>
            <sz val="12"/>
            <color indexed="81"/>
            <rFont val="Tahoma"/>
            <family val="2"/>
          </rPr>
          <t xml:space="preserve">
</t>
        </r>
        <r>
          <rPr>
            <b/>
            <sz val="12"/>
            <color indexed="81"/>
            <rFont val="Tahoma"/>
            <family val="2"/>
          </rPr>
          <t>§ 297</t>
        </r>
        <r>
          <rPr>
            <sz val="12"/>
            <color indexed="81"/>
            <rFont val="Tahoma"/>
            <family val="2"/>
          </rPr>
          <t xml:space="preserve"> </t>
        </r>
        <r>
          <rPr>
            <b/>
            <sz val="12"/>
            <color indexed="81"/>
            <rFont val="Tahoma"/>
            <family val="2"/>
          </rPr>
          <t>Stk. 3</t>
        </r>
        <r>
          <rPr>
            <sz val="12"/>
            <color indexed="81"/>
            <rFont val="Tahoma"/>
            <family val="2"/>
          </rPr>
          <t xml:space="preserve"> og </t>
        </r>
        <r>
          <rPr>
            <b/>
            <sz val="12"/>
            <color indexed="81"/>
            <rFont val="Tahoma"/>
            <family val="2"/>
          </rPr>
          <t>§ 455</t>
        </r>
        <r>
          <rPr>
            <sz val="12"/>
            <color indexed="81"/>
            <rFont val="Tahoma"/>
            <family val="2"/>
          </rPr>
          <t>.</t>
        </r>
      </text>
    </comment>
    <comment ref="L21" authorId="0" shapeId="0" xr:uid="{BD86B0DB-DD0C-4ADD-84F2-AAAD57FD05FB}">
      <text>
        <r>
          <rPr>
            <b/>
            <sz val="12"/>
            <color indexed="81"/>
            <rFont val="Tahoma"/>
            <family val="2"/>
          </rPr>
          <t>Vindues areal</t>
        </r>
        <r>
          <rPr>
            <sz val="12"/>
            <color indexed="81"/>
            <rFont val="Tahoma"/>
            <family val="2"/>
          </rPr>
          <t xml:space="preserve">
Vindues arealet angives som en procentdel af ydervægs arealet.</t>
        </r>
        <r>
          <rPr>
            <b/>
            <sz val="12"/>
            <color indexed="81"/>
            <rFont val="Tahoma"/>
            <family val="2"/>
          </rPr>
          <t xml:space="preserve">
Eksempler:</t>
        </r>
        <r>
          <rPr>
            <sz val="12"/>
            <color indexed="81"/>
            <rFont val="Tahoma"/>
            <family val="2"/>
          </rPr>
          <t xml:space="preserve">
Bolig: 22%
Kulturbygning: 32%
Daginstitution: 25%
Undervisning: 25%
Sundhedsbygning: 30%
Kontorbygning: 46%
Idrætanlæg: 16%</t>
        </r>
      </text>
    </comment>
    <comment ref="N21" authorId="0" shapeId="0" xr:uid="{59F45F0E-6EAB-42A8-801D-501C802A2441}">
      <text>
        <r>
          <rPr>
            <sz val="12"/>
            <color indexed="81"/>
            <rFont val="Tahoma"/>
            <family val="2"/>
          </rPr>
          <t xml:space="preserve">Hvis der bygges efter de nye grænseværdier der træder i kræft medio 2025, </t>
        </r>
        <r>
          <rPr>
            <b/>
            <sz val="12"/>
            <color indexed="81"/>
            <rFont val="Tahoma"/>
            <family val="2"/>
          </rPr>
          <t>skal de nye emissions faktorer også benyttes.</t>
        </r>
      </text>
    </comment>
    <comment ref="S21" authorId="0" shapeId="0" xr:uid="{B66BF998-C485-4DBC-973C-EF22ED60A52E}">
      <text>
        <r>
          <rPr>
            <b/>
            <sz val="12"/>
            <color indexed="81"/>
            <rFont val="Tahoma"/>
            <family val="2"/>
          </rPr>
          <t xml:space="preserve">Driftsforbug el 
</t>
        </r>
        <r>
          <rPr>
            <sz val="12"/>
            <color indexed="81"/>
            <rFont val="Tahoma"/>
            <family val="2"/>
          </rPr>
          <t>skal angives uden bidraget fra evenuelle solceller.</t>
        </r>
      </text>
    </comment>
    <comment ref="O24" authorId="0" shapeId="0" xr:uid="{E424A1DD-C080-4892-86D4-672F64CF4E1B}">
      <text>
        <r>
          <rPr>
            <b/>
            <sz val="12"/>
            <color indexed="81"/>
            <rFont val="Tahoma"/>
            <family val="2"/>
          </rPr>
          <t>CO2 aftrykket pr. m2 er opholdes med kravene i bygningsreglementet.</t>
        </r>
        <r>
          <rPr>
            <sz val="12"/>
            <color indexed="81"/>
            <rFont val="Tahoma"/>
            <family val="2"/>
          </rPr>
          <t xml:space="preserve"> 
Hvis aftrykket ikke overholder kravene indikeres dette med et </t>
        </r>
        <r>
          <rPr>
            <b/>
            <sz val="12"/>
            <color indexed="81"/>
            <rFont val="Tahoma"/>
            <family val="2"/>
          </rPr>
          <t>rødt kryds</t>
        </r>
        <r>
          <rPr>
            <sz val="12"/>
            <color indexed="81"/>
            <rFont val="Tahoma"/>
            <family val="2"/>
          </rPr>
          <t xml:space="preserve">. 
Hvis scenariet overholder bygningsreglementet angives et </t>
        </r>
        <r>
          <rPr>
            <b/>
            <sz val="12"/>
            <color indexed="81"/>
            <rFont val="Tahoma"/>
            <family val="2"/>
          </rPr>
          <t>gult udråbstegn</t>
        </r>
        <r>
          <rPr>
            <sz val="12"/>
            <color indexed="81"/>
            <rFont val="Tahoma"/>
            <family val="2"/>
          </rPr>
          <t xml:space="preserve">. 
Hvis scenariet overholder kriterierne for lavemission angives det ved et </t>
        </r>
        <r>
          <rPr>
            <b/>
            <sz val="12"/>
            <color indexed="81"/>
            <rFont val="Tahoma"/>
            <family val="2"/>
          </rPr>
          <t>grønt flueben</t>
        </r>
        <r>
          <rPr>
            <sz val="12"/>
            <color indexed="81"/>
            <rFont val="Tahoma"/>
            <family val="2"/>
          </rPr>
          <t xml:space="preserve">.
</t>
        </r>
      </text>
    </comment>
    <comment ref="C26" authorId="0" shapeId="0" xr:uid="{598E89C9-EB74-4213-B86D-C2A3CD77D1C7}">
      <text>
        <r>
          <rPr>
            <sz val="12"/>
            <color indexed="81"/>
            <rFont val="Tahoma"/>
            <family val="2"/>
          </rPr>
          <t xml:space="preserve">Angiv overordnede konstruktions opbygning for </t>
        </r>
        <r>
          <rPr>
            <b/>
            <sz val="12"/>
            <color indexed="81"/>
            <rFont val="Tahoma"/>
            <family val="2"/>
          </rPr>
          <t xml:space="preserve">Scenarie 1.
Vælg mellem:
</t>
        </r>
        <r>
          <rPr>
            <sz val="12"/>
            <color indexed="81"/>
            <rFont val="Tahoma"/>
            <family val="2"/>
          </rPr>
          <t>Tung Konventionel: Beton
Middel Konventionel: Beton/Stålskelet
Let Konventionel: Stålskelet
Tung Lav Emission: CLT
Middel  Lav Emission: CLT/Træskelet
Let Lav Emission: Træskelet
Detaljeret information om opbygningerne af de forskellige bygningsdele kan ses forneden.</t>
        </r>
        <r>
          <rPr>
            <b/>
            <sz val="12"/>
            <color indexed="81"/>
            <rFont val="Tahoma"/>
            <family val="2"/>
          </rPr>
          <t xml:space="preserve">
</t>
        </r>
      </text>
    </comment>
    <comment ref="E26" authorId="0" shapeId="0" xr:uid="{2AF7560B-6E62-46D0-AD54-1F14BE5C38A5}">
      <text>
        <r>
          <rPr>
            <sz val="12"/>
            <color indexed="81"/>
            <rFont val="Tahoma"/>
            <family val="2"/>
          </rPr>
          <t xml:space="preserve">Angiv overordnede konstruktions opbygning for </t>
        </r>
        <r>
          <rPr>
            <b/>
            <sz val="12"/>
            <color indexed="81"/>
            <rFont val="Tahoma"/>
            <family val="2"/>
          </rPr>
          <t xml:space="preserve">Scenarie 2.
Vælg mellem:
</t>
        </r>
        <r>
          <rPr>
            <sz val="12"/>
            <color indexed="81"/>
            <rFont val="Tahoma"/>
            <family val="2"/>
          </rPr>
          <t>Tung Konventionel: Beton
Middel Konventionel: Beton/Stålskelet
Let Konventionel: Stålskelet
Tung Lav Emission: CLT
Middel  Lav Emission: CLT/Træskelet
Let Lav Emission: Træskelet
Detaljeret information om opbygningerne af de forskellige bygningsdele kan ses forneden.</t>
        </r>
        <r>
          <rPr>
            <b/>
            <sz val="12"/>
            <color indexed="81"/>
            <rFont val="Tahoma"/>
            <family val="2"/>
          </rPr>
          <t xml:space="preserve">
</t>
        </r>
      </text>
    </comment>
    <comment ref="O26" authorId="0" shapeId="0" xr:uid="{9F3FD544-F202-453B-98D2-840F9F86A131}">
      <text>
        <r>
          <rPr>
            <b/>
            <sz val="12"/>
            <color indexed="81"/>
            <rFont val="Tahoma"/>
            <family val="2"/>
          </rPr>
          <t xml:space="preserve">CO2 aftrykket pr. m2 er opholdes med kravene i bygningsreglementet. 
</t>
        </r>
        <r>
          <rPr>
            <sz val="12"/>
            <color indexed="81"/>
            <rFont val="Tahoma"/>
            <family val="2"/>
          </rPr>
          <t xml:space="preserve">Hvis aftrykket ikke overholder kravene indikeres dette med et </t>
        </r>
        <r>
          <rPr>
            <b/>
            <sz val="12"/>
            <color indexed="81"/>
            <rFont val="Tahoma"/>
            <family val="2"/>
          </rPr>
          <t>rødt kryds</t>
        </r>
        <r>
          <rPr>
            <sz val="12"/>
            <color indexed="81"/>
            <rFont val="Tahoma"/>
            <family val="2"/>
          </rPr>
          <t xml:space="preserve">. 
Hvis scenariet overholder bygningsreglementet angives et </t>
        </r>
        <r>
          <rPr>
            <b/>
            <sz val="12"/>
            <color indexed="81"/>
            <rFont val="Tahoma"/>
            <family val="2"/>
          </rPr>
          <t>gult udråbstegn</t>
        </r>
        <r>
          <rPr>
            <sz val="12"/>
            <color indexed="81"/>
            <rFont val="Tahoma"/>
            <family val="2"/>
          </rPr>
          <t xml:space="preserve">. 
Hvis scenariet overholder kriterierne for lavemission angives det ved et </t>
        </r>
        <r>
          <rPr>
            <b/>
            <sz val="12"/>
            <color indexed="81"/>
            <rFont val="Tahoma"/>
            <family val="2"/>
          </rPr>
          <t>grønt flueben</t>
        </r>
        <r>
          <rPr>
            <sz val="12"/>
            <color indexed="81"/>
            <rFont val="Tahoma"/>
            <family val="2"/>
          </rPr>
          <t>.</t>
        </r>
        <r>
          <rPr>
            <b/>
            <sz val="12"/>
            <color indexed="81"/>
            <rFont val="Tahoma"/>
            <family val="2"/>
          </rPr>
          <t xml:space="preserve">
</t>
        </r>
      </text>
    </comment>
    <comment ref="R26" authorId="0" shapeId="0" xr:uid="{625DA836-B744-4DF9-BFED-4EE11DFF5A0D}">
      <text>
        <r>
          <rPr>
            <b/>
            <sz val="12"/>
            <color indexed="81"/>
            <rFont val="Tahoma"/>
            <family val="2"/>
          </rPr>
          <t xml:space="preserve">CO2 aftrykket pr. m2 er opholdes med kravene i bygningsreglementet. </t>
        </r>
        <r>
          <rPr>
            <sz val="12"/>
            <color indexed="81"/>
            <rFont val="Tahoma"/>
            <family val="2"/>
          </rPr>
          <t xml:space="preserve">
Hvis aftrykket ikke overholder kravene indikeres dette med et</t>
        </r>
        <r>
          <rPr>
            <b/>
            <sz val="12"/>
            <color indexed="81"/>
            <rFont val="Tahoma"/>
            <family val="2"/>
          </rPr>
          <t xml:space="preserve"> rødt kryds. </t>
        </r>
        <r>
          <rPr>
            <sz val="12"/>
            <color indexed="81"/>
            <rFont val="Tahoma"/>
            <family val="2"/>
          </rPr>
          <t xml:space="preserve">
Hvis scenariet overholder bygningsreglementet angives et </t>
        </r>
        <r>
          <rPr>
            <b/>
            <sz val="12"/>
            <color indexed="81"/>
            <rFont val="Tahoma"/>
            <family val="2"/>
          </rPr>
          <t xml:space="preserve">gult udråbstegn. </t>
        </r>
        <r>
          <rPr>
            <sz val="12"/>
            <color indexed="81"/>
            <rFont val="Tahoma"/>
            <family val="2"/>
          </rPr>
          <t xml:space="preserve">
Hvis scenariet overholder kriterierne for lavemission angives det ved et </t>
        </r>
        <r>
          <rPr>
            <b/>
            <sz val="12"/>
            <color indexed="81"/>
            <rFont val="Tahoma"/>
            <family val="2"/>
          </rPr>
          <t>grønt flueben.</t>
        </r>
        <r>
          <rPr>
            <b/>
            <sz val="9"/>
            <color indexed="81"/>
            <rFont val="Tahoma"/>
            <family val="2"/>
          </rPr>
          <t xml:space="preserve">
</t>
        </r>
      </text>
    </comment>
    <comment ref="C28" authorId="0" shapeId="0" xr:uid="{22C717F4-59D3-41EB-93D1-60EE71D45976}">
      <text>
        <r>
          <rPr>
            <b/>
            <sz val="12"/>
            <color indexed="81"/>
            <rFont val="Tahoma"/>
            <family val="2"/>
          </rPr>
          <t xml:space="preserve">Ydervæg 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 Mineraluld, Beton
</t>
        </r>
        <r>
          <rPr>
            <b/>
            <sz val="12"/>
            <color indexed="81"/>
            <rFont val="Tahoma"/>
            <family val="2"/>
          </rPr>
          <t>Middel Konventionel:</t>
        </r>
        <r>
          <rPr>
            <sz val="12"/>
            <color indexed="81"/>
            <rFont val="Tahoma"/>
            <family val="2"/>
          </rPr>
          <t xml:space="preserve"> Tegl, Mineraluld, Stålskelet, Gips
</t>
        </r>
        <r>
          <rPr>
            <b/>
            <sz val="12"/>
            <color indexed="81"/>
            <rFont val="Tahoma"/>
            <family val="2"/>
          </rPr>
          <t xml:space="preserve">Let Konventionel: </t>
        </r>
        <r>
          <rPr>
            <sz val="12"/>
            <color indexed="81"/>
            <rFont val="Tahoma"/>
            <family val="2"/>
          </rPr>
          <t xml:space="preserve">Træbeklædning, Afstandsliste i træ, Mineraluld, Stålskelet, Gips
</t>
        </r>
        <r>
          <rPr>
            <b/>
            <sz val="12"/>
            <color indexed="81"/>
            <rFont val="Tahoma"/>
            <family val="2"/>
          </rPr>
          <t>Tung Lav Emission:</t>
        </r>
        <r>
          <rPr>
            <sz val="12"/>
            <color indexed="81"/>
            <rFont val="Tahoma"/>
            <family val="2"/>
          </rPr>
          <t xml:space="preserve"> Tegl, Papiruld, CLT, Ler-/hampplade
</t>
        </r>
        <r>
          <rPr>
            <b/>
            <sz val="12"/>
            <color indexed="81"/>
            <rFont val="Tahoma"/>
            <family val="2"/>
          </rPr>
          <t>Middel  Lav Emission:</t>
        </r>
        <r>
          <rPr>
            <sz val="12"/>
            <color indexed="81"/>
            <rFont val="Tahoma"/>
            <family val="2"/>
          </rPr>
          <t xml:space="preserve"> Træbeklædning, Papiruld, CLT, Ler-/hampplade
</t>
        </r>
        <r>
          <rPr>
            <b/>
            <sz val="12"/>
            <color indexed="81"/>
            <rFont val="Tahoma"/>
            <family val="2"/>
          </rPr>
          <t>Let Lav Emission:</t>
        </r>
        <r>
          <rPr>
            <sz val="12"/>
            <color indexed="81"/>
            <rFont val="Tahoma"/>
            <family val="2"/>
          </rPr>
          <t xml:space="preserve"> Træbeklædning, Afstandsliste i træ, Papiruld, Træskelet, Ler-/hampplade</t>
        </r>
      </text>
    </comment>
    <comment ref="E28" authorId="0" shapeId="0" xr:uid="{E1CB05E4-1844-4E66-B512-AB1706B9B074}">
      <text>
        <r>
          <rPr>
            <b/>
            <sz val="12"/>
            <color indexed="81"/>
            <rFont val="Tahoma"/>
            <family val="2"/>
          </rPr>
          <t xml:space="preserve">Ydervæg 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 Mineraluld, Beton
</t>
        </r>
        <r>
          <rPr>
            <b/>
            <sz val="12"/>
            <color indexed="81"/>
            <rFont val="Tahoma"/>
            <family val="2"/>
          </rPr>
          <t>Middel Konventionel:</t>
        </r>
        <r>
          <rPr>
            <sz val="12"/>
            <color indexed="81"/>
            <rFont val="Tahoma"/>
            <family val="2"/>
          </rPr>
          <t xml:space="preserve"> Tegl, Mineraluld, Stålskelet, Gips
</t>
        </r>
        <r>
          <rPr>
            <b/>
            <sz val="12"/>
            <color indexed="81"/>
            <rFont val="Tahoma"/>
            <family val="2"/>
          </rPr>
          <t xml:space="preserve">Let Konventionel: </t>
        </r>
        <r>
          <rPr>
            <sz val="12"/>
            <color indexed="81"/>
            <rFont val="Tahoma"/>
            <family val="2"/>
          </rPr>
          <t xml:space="preserve">Træbeklædning, Afstandsliste i træ, Mineraluld, Stålskelet, Gips
</t>
        </r>
        <r>
          <rPr>
            <b/>
            <sz val="12"/>
            <color indexed="81"/>
            <rFont val="Tahoma"/>
            <family val="2"/>
          </rPr>
          <t>Tung Lav Emission:</t>
        </r>
        <r>
          <rPr>
            <sz val="12"/>
            <color indexed="81"/>
            <rFont val="Tahoma"/>
            <family val="2"/>
          </rPr>
          <t xml:space="preserve"> Tegl, Papiruld, CLT, Ler-/hampplade
</t>
        </r>
        <r>
          <rPr>
            <b/>
            <sz val="12"/>
            <color indexed="81"/>
            <rFont val="Tahoma"/>
            <family val="2"/>
          </rPr>
          <t>Middel  Lav Emission:</t>
        </r>
        <r>
          <rPr>
            <sz val="12"/>
            <color indexed="81"/>
            <rFont val="Tahoma"/>
            <family val="2"/>
          </rPr>
          <t xml:space="preserve"> Træbeklædning, Papiruld, CLT, Ler-/hampplade
</t>
        </r>
        <r>
          <rPr>
            <b/>
            <sz val="12"/>
            <color indexed="81"/>
            <rFont val="Tahoma"/>
            <family val="2"/>
          </rPr>
          <t>Let Lav Emission:</t>
        </r>
        <r>
          <rPr>
            <sz val="12"/>
            <color indexed="81"/>
            <rFont val="Tahoma"/>
            <family val="2"/>
          </rPr>
          <t xml:space="preserve"> Træbeklædning, Afstandsliste i træ, Papiruld, Træskelet, Ler-/hampplade</t>
        </r>
      </text>
    </comment>
    <comment ref="C29" authorId="0" shapeId="0" xr:uid="{653BAF68-53F8-4A89-91CA-939645261433}">
      <text>
        <r>
          <rPr>
            <b/>
            <sz val="12"/>
            <color indexed="81"/>
            <rFont val="Tahoma"/>
            <family val="2"/>
          </rPr>
          <t xml:space="preserve">Tagkonstruktions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Teglsten, Mineraluld, Betonhuldæk, Akrylmaling på puds
</t>
        </r>
        <r>
          <rPr>
            <b/>
            <sz val="12"/>
            <color indexed="81"/>
            <rFont val="Tahoma"/>
            <family val="2"/>
          </rPr>
          <t>Middel Konventionel:</t>
        </r>
        <r>
          <rPr>
            <sz val="12"/>
            <color indexed="81"/>
            <rFont val="Tahoma"/>
            <family val="2"/>
          </rPr>
          <t xml:space="preserve"> Tagpap, Mineraluld, Betonhuldæk, Gips på stålprofiler
</t>
        </r>
        <r>
          <rPr>
            <b/>
            <sz val="12"/>
            <color indexed="81"/>
            <rFont val="Tahoma"/>
            <family val="2"/>
          </rPr>
          <t xml:space="preserve">Let Konventionel: </t>
        </r>
        <r>
          <rPr>
            <sz val="12"/>
            <color indexed="81"/>
            <rFont val="Tahoma"/>
            <family val="2"/>
          </rPr>
          <t xml:space="preserve">Tagpap, Mineraluld, Stålspær, Gips på stålprofiler
</t>
        </r>
        <r>
          <rPr>
            <b/>
            <sz val="12"/>
            <color indexed="81"/>
            <rFont val="Tahoma"/>
            <family val="2"/>
          </rPr>
          <t>Tung Lav Emission:</t>
        </r>
        <r>
          <rPr>
            <sz val="12"/>
            <color indexed="81"/>
            <rFont val="Tahoma"/>
            <family val="2"/>
          </rPr>
          <t xml:space="preserve"> Betontagsten, Papiruld, CLT, Bræddeloft
</t>
        </r>
        <r>
          <rPr>
            <b/>
            <sz val="12"/>
            <color indexed="81"/>
            <rFont val="Tahoma"/>
            <family val="2"/>
          </rPr>
          <t>Middel  Lav Emission:</t>
        </r>
        <r>
          <rPr>
            <sz val="12"/>
            <color indexed="81"/>
            <rFont val="Tahoma"/>
            <family val="2"/>
          </rPr>
          <t xml:space="preserve"> Betontagsten, Papiruld, Bjælkespær, Bræddeloft
</t>
        </r>
        <r>
          <rPr>
            <b/>
            <sz val="12"/>
            <color indexed="81"/>
            <rFont val="Tahoma"/>
            <family val="2"/>
          </rPr>
          <t>Let Lav Emission:</t>
        </r>
        <r>
          <rPr>
            <sz val="12"/>
            <color indexed="81"/>
            <rFont val="Tahoma"/>
            <family val="2"/>
          </rPr>
          <t xml:space="preserve"> Stråtag, Papiruld, Bjælkespær, Bræddeloft
</t>
        </r>
      </text>
    </comment>
    <comment ref="E29" authorId="0" shapeId="0" xr:uid="{C7E1C062-A0CF-4270-8027-89F2D0BF8D4D}">
      <text>
        <r>
          <rPr>
            <b/>
            <sz val="12"/>
            <color indexed="81"/>
            <rFont val="Tahoma"/>
            <family val="2"/>
          </rPr>
          <t xml:space="preserve">Tagkonstruktions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Teglsten, Mineraluld, Betonhuldæk, Akrylmaling på puds
</t>
        </r>
        <r>
          <rPr>
            <b/>
            <sz val="12"/>
            <color indexed="81"/>
            <rFont val="Tahoma"/>
            <family val="2"/>
          </rPr>
          <t>Middel Konventionel:</t>
        </r>
        <r>
          <rPr>
            <sz val="12"/>
            <color indexed="81"/>
            <rFont val="Tahoma"/>
            <family val="2"/>
          </rPr>
          <t xml:space="preserve"> Tagpap, Mineraluld, Betonhuldæk, Gips på stålprofiler
</t>
        </r>
        <r>
          <rPr>
            <b/>
            <sz val="12"/>
            <color indexed="81"/>
            <rFont val="Tahoma"/>
            <family val="2"/>
          </rPr>
          <t xml:space="preserve">Let Konventionel: </t>
        </r>
        <r>
          <rPr>
            <sz val="12"/>
            <color indexed="81"/>
            <rFont val="Tahoma"/>
            <family val="2"/>
          </rPr>
          <t xml:space="preserve">Tagpap, Mineraluld, Stålspær, Gips på stålprofiler
</t>
        </r>
        <r>
          <rPr>
            <b/>
            <sz val="12"/>
            <color indexed="81"/>
            <rFont val="Tahoma"/>
            <family val="2"/>
          </rPr>
          <t>Tung Lav Emission:</t>
        </r>
        <r>
          <rPr>
            <sz val="12"/>
            <color indexed="81"/>
            <rFont val="Tahoma"/>
            <family val="2"/>
          </rPr>
          <t xml:space="preserve"> Betontagsten, Papiruld, CLT, Bræddeloft
</t>
        </r>
        <r>
          <rPr>
            <b/>
            <sz val="12"/>
            <color indexed="81"/>
            <rFont val="Tahoma"/>
            <family val="2"/>
          </rPr>
          <t>Middel  Lav Emission:</t>
        </r>
        <r>
          <rPr>
            <sz val="12"/>
            <color indexed="81"/>
            <rFont val="Tahoma"/>
            <family val="2"/>
          </rPr>
          <t xml:space="preserve"> Betontagsten, Papiruld, Bjælkespær, Bræddeloft
</t>
        </r>
        <r>
          <rPr>
            <b/>
            <sz val="12"/>
            <color indexed="81"/>
            <rFont val="Tahoma"/>
            <family val="2"/>
          </rPr>
          <t>Let Lav Emission:</t>
        </r>
        <r>
          <rPr>
            <sz val="12"/>
            <color indexed="81"/>
            <rFont val="Tahoma"/>
            <family val="2"/>
          </rPr>
          <t xml:space="preserve"> Stråtag, Papiruld, Bjælkespær, Bræddeloft
</t>
        </r>
      </text>
    </comment>
    <comment ref="C30" authorId="0" shapeId="0" xr:uid="{3AC14800-789F-470F-8387-C327CE790990}">
      <text>
        <r>
          <rPr>
            <b/>
            <sz val="12"/>
            <color indexed="81"/>
            <rFont val="Tahoma"/>
            <family val="2"/>
          </rPr>
          <t xml:space="preserve">Terrændæk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Beton, EPS, Letklinker
</t>
        </r>
        <r>
          <rPr>
            <b/>
            <sz val="12"/>
            <color indexed="81"/>
            <rFont val="Tahoma"/>
            <family val="2"/>
          </rPr>
          <t>Middel Konventionel:</t>
        </r>
        <r>
          <rPr>
            <sz val="12"/>
            <color indexed="81"/>
            <rFont val="Tahoma"/>
            <family val="2"/>
          </rPr>
          <t xml:space="preserve"> Trægulv på strøer, Gulvspånplade, EPS, Letklinker
</t>
        </r>
        <r>
          <rPr>
            <b/>
            <sz val="12"/>
            <color indexed="81"/>
            <rFont val="Tahoma"/>
            <family val="2"/>
          </rPr>
          <t xml:space="preserve">Let Konventionel: </t>
        </r>
        <r>
          <rPr>
            <sz val="12"/>
            <color indexed="81"/>
            <rFont val="Tahoma"/>
            <family val="2"/>
          </rPr>
          <t xml:space="preserve">Trægulv på strøer, Stålkassette, EPS, Letklinker
</t>
        </r>
        <r>
          <rPr>
            <b/>
            <sz val="12"/>
            <color indexed="81"/>
            <rFont val="Tahoma"/>
            <family val="2"/>
          </rPr>
          <t>Tung Lav Emission:</t>
        </r>
        <r>
          <rPr>
            <sz val="12"/>
            <color indexed="81"/>
            <rFont val="Tahoma"/>
            <family val="2"/>
          </rPr>
          <t xml:space="preserve"> Trægulv på strøer, Beton, EPS, Letklinker
</t>
        </r>
        <r>
          <rPr>
            <b/>
            <sz val="12"/>
            <color indexed="81"/>
            <rFont val="Tahoma"/>
            <family val="2"/>
          </rPr>
          <t>Middel  Lav Emission:</t>
        </r>
        <r>
          <rPr>
            <sz val="12"/>
            <color indexed="81"/>
            <rFont val="Tahoma"/>
            <family val="2"/>
          </rPr>
          <t xml:space="preserve"> Trægulv på strøer, Trækassette, Papiruld, Letklinker
</t>
        </r>
        <r>
          <rPr>
            <b/>
            <sz val="12"/>
            <color indexed="81"/>
            <rFont val="Tahoma"/>
            <family val="2"/>
          </rPr>
          <t>Let Lav Emission:</t>
        </r>
        <r>
          <rPr>
            <sz val="12"/>
            <color indexed="81"/>
            <rFont val="Tahoma"/>
            <family val="2"/>
          </rPr>
          <t xml:space="preserve"> Trægulv på strøer, Trækassette, Papiruld, Letklinker
</t>
        </r>
      </text>
    </comment>
    <comment ref="E30" authorId="0" shapeId="0" xr:uid="{6D59C50B-FC1D-4644-BA76-8FD3121C7202}">
      <text>
        <r>
          <rPr>
            <b/>
            <sz val="12"/>
            <color indexed="81"/>
            <rFont val="Tahoma"/>
            <family val="2"/>
          </rPr>
          <t xml:space="preserve">Terrændæk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Beton, EPS, Letklinker
</t>
        </r>
        <r>
          <rPr>
            <b/>
            <sz val="12"/>
            <color indexed="81"/>
            <rFont val="Tahoma"/>
            <family val="2"/>
          </rPr>
          <t>Middel Konventionel:</t>
        </r>
        <r>
          <rPr>
            <sz val="12"/>
            <color indexed="81"/>
            <rFont val="Tahoma"/>
            <family val="2"/>
          </rPr>
          <t xml:space="preserve"> Trægulv på strøer, Gulvspånplade, EPS, Letklinker
</t>
        </r>
        <r>
          <rPr>
            <b/>
            <sz val="12"/>
            <color indexed="81"/>
            <rFont val="Tahoma"/>
            <family val="2"/>
          </rPr>
          <t xml:space="preserve">Let Konventionel: </t>
        </r>
        <r>
          <rPr>
            <sz val="12"/>
            <color indexed="81"/>
            <rFont val="Tahoma"/>
            <family val="2"/>
          </rPr>
          <t xml:space="preserve">Trægulv på strøer, Stålkassette, EPS, Letklinker
</t>
        </r>
        <r>
          <rPr>
            <b/>
            <sz val="12"/>
            <color indexed="81"/>
            <rFont val="Tahoma"/>
            <family val="2"/>
          </rPr>
          <t>Tung Lav Emission:</t>
        </r>
        <r>
          <rPr>
            <sz val="12"/>
            <color indexed="81"/>
            <rFont val="Tahoma"/>
            <family val="2"/>
          </rPr>
          <t xml:space="preserve"> Trægulv på strøer, Beton, EPS, Letklinker
</t>
        </r>
        <r>
          <rPr>
            <b/>
            <sz val="12"/>
            <color indexed="81"/>
            <rFont val="Tahoma"/>
            <family val="2"/>
          </rPr>
          <t>Middel  Lav Emission:</t>
        </r>
        <r>
          <rPr>
            <sz val="12"/>
            <color indexed="81"/>
            <rFont val="Tahoma"/>
            <family val="2"/>
          </rPr>
          <t xml:space="preserve"> Trægulv på strøer, Trækassette, Papiruld, Letklinker
</t>
        </r>
        <r>
          <rPr>
            <b/>
            <sz val="12"/>
            <color indexed="81"/>
            <rFont val="Tahoma"/>
            <family val="2"/>
          </rPr>
          <t>Let Lav Emission:</t>
        </r>
        <r>
          <rPr>
            <sz val="12"/>
            <color indexed="81"/>
            <rFont val="Tahoma"/>
            <family val="2"/>
          </rPr>
          <t xml:space="preserve"> Trægulv på strøer, Trækassette, Papiruld, Letklinker
</t>
        </r>
      </text>
    </comment>
    <comment ref="O30" authorId="0" shapeId="0" xr:uid="{3DB12717-8082-4C57-B253-37E57ABDE117}">
      <text>
        <r>
          <rPr>
            <b/>
            <sz val="12"/>
            <color indexed="81"/>
            <rFont val="Tahoma"/>
            <family val="2"/>
          </rPr>
          <t xml:space="preserve">Den samlede klimapåvirkning
</t>
        </r>
        <r>
          <rPr>
            <sz val="12"/>
            <color indexed="81"/>
            <rFont val="Tahoma"/>
            <family val="2"/>
          </rPr>
          <t>Her angives den totale sum i kg CO2 eq for de to scenarier.</t>
        </r>
      </text>
    </comment>
    <comment ref="C31" authorId="0" shapeId="0" xr:uid="{531B1649-4DDB-4D0A-890C-7FD0843FA03B}">
      <text>
        <r>
          <rPr>
            <b/>
            <sz val="12"/>
            <color indexed="81"/>
            <rFont val="Tahoma"/>
            <family val="2"/>
          </rPr>
          <t xml:space="preserve">Fundament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Linjefundament
</t>
        </r>
        <r>
          <rPr>
            <b/>
            <sz val="12"/>
            <color indexed="81"/>
            <rFont val="Tahoma"/>
            <family val="2"/>
          </rPr>
          <t>Middel Konventionel:</t>
        </r>
        <r>
          <rPr>
            <sz val="12"/>
            <color indexed="81"/>
            <rFont val="Tahoma"/>
            <family val="2"/>
          </rPr>
          <t xml:space="preserve"> Linjefundament
</t>
        </r>
        <r>
          <rPr>
            <b/>
            <sz val="12"/>
            <color indexed="81"/>
            <rFont val="Tahoma"/>
            <family val="2"/>
          </rPr>
          <t xml:space="preserve">Let Konventionel: </t>
        </r>
        <r>
          <rPr>
            <sz val="12"/>
            <color indexed="81"/>
            <rFont val="Tahoma"/>
            <family val="2"/>
          </rPr>
          <t xml:space="preserve">Punktfundament
</t>
        </r>
        <r>
          <rPr>
            <b/>
            <sz val="12"/>
            <color indexed="81"/>
            <rFont val="Tahoma"/>
            <family val="2"/>
          </rPr>
          <t>Tung Lav Emission:</t>
        </r>
        <r>
          <rPr>
            <sz val="12"/>
            <color indexed="81"/>
            <rFont val="Tahoma"/>
            <family val="2"/>
          </rPr>
          <t xml:space="preserve"> Linjefundament
</t>
        </r>
        <r>
          <rPr>
            <b/>
            <sz val="12"/>
            <color indexed="81"/>
            <rFont val="Tahoma"/>
            <family val="2"/>
          </rPr>
          <t>Middel  Lav Emission:</t>
        </r>
        <r>
          <rPr>
            <sz val="12"/>
            <color indexed="81"/>
            <rFont val="Tahoma"/>
            <family val="2"/>
          </rPr>
          <t xml:space="preserve"> Punktfundament
</t>
        </r>
        <r>
          <rPr>
            <b/>
            <sz val="12"/>
            <color indexed="81"/>
            <rFont val="Tahoma"/>
            <family val="2"/>
          </rPr>
          <t>Let Lav Emission:</t>
        </r>
        <r>
          <rPr>
            <sz val="12"/>
            <color indexed="81"/>
            <rFont val="Tahoma"/>
            <family val="2"/>
          </rPr>
          <t xml:space="preserve"> Skruefundament
</t>
        </r>
      </text>
    </comment>
    <comment ref="E31" authorId="0" shapeId="0" xr:uid="{E9F9DDD9-4FEF-4839-B6E6-EB0090DA1547}">
      <text>
        <r>
          <rPr>
            <b/>
            <sz val="12"/>
            <color indexed="81"/>
            <rFont val="Tahoma"/>
            <family val="2"/>
          </rPr>
          <t xml:space="preserve">Fundament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Linjefundament
</t>
        </r>
        <r>
          <rPr>
            <b/>
            <sz val="12"/>
            <color indexed="81"/>
            <rFont val="Tahoma"/>
            <family val="2"/>
          </rPr>
          <t>Middel Konventionel:</t>
        </r>
        <r>
          <rPr>
            <sz val="12"/>
            <color indexed="81"/>
            <rFont val="Tahoma"/>
            <family val="2"/>
          </rPr>
          <t xml:space="preserve"> Linjefundament
</t>
        </r>
        <r>
          <rPr>
            <b/>
            <sz val="12"/>
            <color indexed="81"/>
            <rFont val="Tahoma"/>
            <family val="2"/>
          </rPr>
          <t xml:space="preserve">Let Konventionel: </t>
        </r>
        <r>
          <rPr>
            <sz val="12"/>
            <color indexed="81"/>
            <rFont val="Tahoma"/>
            <family val="2"/>
          </rPr>
          <t xml:space="preserve">Punktfundament
</t>
        </r>
        <r>
          <rPr>
            <b/>
            <sz val="12"/>
            <color indexed="81"/>
            <rFont val="Tahoma"/>
            <family val="2"/>
          </rPr>
          <t>Tung Lav Emission:</t>
        </r>
        <r>
          <rPr>
            <sz val="12"/>
            <color indexed="81"/>
            <rFont val="Tahoma"/>
            <family val="2"/>
          </rPr>
          <t xml:space="preserve"> Linjefundament
</t>
        </r>
        <r>
          <rPr>
            <b/>
            <sz val="12"/>
            <color indexed="81"/>
            <rFont val="Tahoma"/>
            <family val="2"/>
          </rPr>
          <t>Middel  Lav Emission:</t>
        </r>
        <r>
          <rPr>
            <sz val="12"/>
            <color indexed="81"/>
            <rFont val="Tahoma"/>
            <family val="2"/>
          </rPr>
          <t xml:space="preserve"> Punktfundament
</t>
        </r>
        <r>
          <rPr>
            <b/>
            <sz val="12"/>
            <color indexed="81"/>
            <rFont val="Tahoma"/>
            <family val="2"/>
          </rPr>
          <t>Let Lav Emission:</t>
        </r>
        <r>
          <rPr>
            <sz val="12"/>
            <color indexed="81"/>
            <rFont val="Tahoma"/>
            <family val="2"/>
          </rPr>
          <t xml:space="preserve"> Skruefundament
</t>
        </r>
      </text>
    </comment>
    <comment ref="C32" authorId="0" shapeId="0" xr:uid="{E9E0648D-78B3-4F94-974D-8F87B49A8F60}">
      <text>
        <r>
          <rPr>
            <b/>
            <sz val="12"/>
            <color indexed="81"/>
            <rFont val="Tahoma"/>
            <family val="2"/>
          </rPr>
          <t xml:space="preserve">Skillevæg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Teglsten
</t>
        </r>
        <r>
          <rPr>
            <b/>
            <sz val="12"/>
            <color indexed="81"/>
            <rFont val="Tahoma"/>
            <family val="2"/>
          </rPr>
          <t>Middel Konventionel:</t>
        </r>
        <r>
          <rPr>
            <sz val="12"/>
            <color indexed="81"/>
            <rFont val="Tahoma"/>
            <family val="2"/>
          </rPr>
          <t xml:space="preserve"> Porebeton
</t>
        </r>
        <r>
          <rPr>
            <b/>
            <sz val="12"/>
            <color indexed="81"/>
            <rFont val="Tahoma"/>
            <family val="2"/>
          </rPr>
          <t xml:space="preserve">Let Konventionel: </t>
        </r>
        <r>
          <rPr>
            <sz val="12"/>
            <color indexed="81"/>
            <rFont val="Tahoma"/>
            <family val="2"/>
          </rPr>
          <t xml:space="preserve">Gips, Mineraluld, Stålskelet, Gips
</t>
        </r>
        <r>
          <rPr>
            <b/>
            <sz val="12"/>
            <color indexed="81"/>
            <rFont val="Tahoma"/>
            <family val="2"/>
          </rPr>
          <t>Tung Lav Emission:</t>
        </r>
        <r>
          <rPr>
            <sz val="12"/>
            <color indexed="81"/>
            <rFont val="Tahoma"/>
            <family val="2"/>
          </rPr>
          <t xml:space="preserve"> CLT
</t>
        </r>
        <r>
          <rPr>
            <b/>
            <sz val="12"/>
            <color indexed="81"/>
            <rFont val="Tahoma"/>
            <family val="2"/>
          </rPr>
          <t>Middel  Lav Emission:</t>
        </r>
        <r>
          <rPr>
            <sz val="12"/>
            <color indexed="81"/>
            <rFont val="Tahoma"/>
            <family val="2"/>
          </rPr>
          <t xml:space="preserve"> Trælameller, Papiruld, Træskelet, Krydsfiner og gipsplader
</t>
        </r>
        <r>
          <rPr>
            <b/>
            <sz val="12"/>
            <color indexed="81"/>
            <rFont val="Tahoma"/>
            <family val="2"/>
          </rPr>
          <t>Let Lav Emission:</t>
        </r>
        <r>
          <rPr>
            <sz val="12"/>
            <color indexed="81"/>
            <rFont val="Tahoma"/>
            <family val="2"/>
          </rPr>
          <t xml:space="preserve"> Ler-/Hampplade, Papiruld, Træskelet, Ler-/hampplade</t>
        </r>
      </text>
    </comment>
    <comment ref="E32" authorId="0" shapeId="0" xr:uid="{EEB4BB4B-2E6E-4733-B89C-7B544472B718}">
      <text>
        <r>
          <rPr>
            <b/>
            <sz val="12"/>
            <color indexed="81"/>
            <rFont val="Tahoma"/>
            <family val="2"/>
          </rPr>
          <t xml:space="preserve">Skillevæg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Teglsten
</t>
        </r>
        <r>
          <rPr>
            <b/>
            <sz val="12"/>
            <color indexed="81"/>
            <rFont val="Tahoma"/>
            <family val="2"/>
          </rPr>
          <t>Middel Konventionel:</t>
        </r>
        <r>
          <rPr>
            <sz val="12"/>
            <color indexed="81"/>
            <rFont val="Tahoma"/>
            <family val="2"/>
          </rPr>
          <t xml:space="preserve"> Porebeton
</t>
        </r>
        <r>
          <rPr>
            <b/>
            <sz val="12"/>
            <color indexed="81"/>
            <rFont val="Tahoma"/>
            <family val="2"/>
          </rPr>
          <t xml:space="preserve">Let Konventionel: </t>
        </r>
        <r>
          <rPr>
            <sz val="12"/>
            <color indexed="81"/>
            <rFont val="Tahoma"/>
            <family val="2"/>
          </rPr>
          <t xml:space="preserve">Gips, Mineraluld, Stålskelet, Gips
</t>
        </r>
        <r>
          <rPr>
            <b/>
            <sz val="12"/>
            <color indexed="81"/>
            <rFont val="Tahoma"/>
            <family val="2"/>
          </rPr>
          <t>Tung Lav Emission:</t>
        </r>
        <r>
          <rPr>
            <sz val="12"/>
            <color indexed="81"/>
            <rFont val="Tahoma"/>
            <family val="2"/>
          </rPr>
          <t xml:space="preserve"> CLT
</t>
        </r>
        <r>
          <rPr>
            <b/>
            <sz val="12"/>
            <color indexed="81"/>
            <rFont val="Tahoma"/>
            <family val="2"/>
          </rPr>
          <t>Middel  Lav Emission:</t>
        </r>
        <r>
          <rPr>
            <sz val="12"/>
            <color indexed="81"/>
            <rFont val="Tahoma"/>
            <family val="2"/>
          </rPr>
          <t xml:space="preserve"> Trælameller, Papiruld, Træskelet, Krydsfiner og gipsplader
</t>
        </r>
        <r>
          <rPr>
            <b/>
            <sz val="12"/>
            <color indexed="81"/>
            <rFont val="Tahoma"/>
            <family val="2"/>
          </rPr>
          <t>Let Lav Emission:</t>
        </r>
        <r>
          <rPr>
            <sz val="12"/>
            <color indexed="81"/>
            <rFont val="Tahoma"/>
            <family val="2"/>
          </rPr>
          <t xml:space="preserve"> Ler-/Hampplade, Papiruld, Træskelet, Ler-/hampplade</t>
        </r>
      </text>
    </comment>
    <comment ref="C33" authorId="0" shapeId="0" xr:uid="{C5246A35-FF7D-41F4-9586-9CE60B4664B7}">
      <text>
        <r>
          <rPr>
            <b/>
            <sz val="12"/>
            <color indexed="81"/>
            <rFont val="Tahoma"/>
            <family val="2"/>
          </rPr>
          <t xml:space="preserve">Etagedæk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Mineraluld, Betonelement, Akrylmaling på puds
</t>
        </r>
        <r>
          <rPr>
            <b/>
            <sz val="12"/>
            <color indexed="81"/>
            <rFont val="Tahoma"/>
            <family val="2"/>
          </rPr>
          <t>Middel Konventionel:</t>
        </r>
        <r>
          <rPr>
            <sz val="12"/>
            <color indexed="81"/>
            <rFont val="Tahoma"/>
            <family val="2"/>
          </rPr>
          <t xml:space="preserve"> Trægulv på strøer, Mineraluld, Letbeton, Akrylmaling på puds
</t>
        </r>
        <r>
          <rPr>
            <b/>
            <sz val="12"/>
            <color indexed="81"/>
            <rFont val="Tahoma"/>
            <family val="2"/>
          </rPr>
          <t xml:space="preserve">Let Konventionel: </t>
        </r>
        <r>
          <rPr>
            <sz val="12"/>
            <color indexed="81"/>
            <rFont val="Tahoma"/>
            <family val="2"/>
          </rPr>
          <t xml:space="preserve">Trægulv på strøer, Mineraluld, Stål, Gips på stålprofiler
</t>
        </r>
        <r>
          <rPr>
            <b/>
            <sz val="12"/>
            <color indexed="81"/>
            <rFont val="Tahoma"/>
            <family val="2"/>
          </rPr>
          <t>Tung Lav Emission:</t>
        </r>
        <r>
          <rPr>
            <sz val="12"/>
            <color indexed="81"/>
            <rFont val="Tahoma"/>
            <family val="2"/>
          </rPr>
          <t xml:space="preserve"> Trægulv på strøer, Papiruld, CLT, Bræddeloft
</t>
        </r>
        <r>
          <rPr>
            <b/>
            <sz val="12"/>
            <color indexed="81"/>
            <rFont val="Tahoma"/>
            <family val="2"/>
          </rPr>
          <t>Middel  Lav Emission:</t>
        </r>
        <r>
          <rPr>
            <sz val="12"/>
            <color indexed="81"/>
            <rFont val="Tahoma"/>
            <family val="2"/>
          </rPr>
          <t xml:space="preserve"> Trægulv på strøer, Papiruld, CLT, Bræddeloft
</t>
        </r>
        <r>
          <rPr>
            <b/>
            <sz val="12"/>
            <color indexed="81"/>
            <rFont val="Tahoma"/>
            <family val="2"/>
          </rPr>
          <t>Let Lav Emission:</t>
        </r>
        <r>
          <rPr>
            <sz val="12"/>
            <color indexed="81"/>
            <rFont val="Tahoma"/>
            <family val="2"/>
          </rPr>
          <t xml:space="preserve"> Trægulv på strøer, Papiruld, Træ bjælker, Bræddeloft</t>
        </r>
      </text>
    </comment>
    <comment ref="E33" authorId="0" shapeId="0" xr:uid="{FE235989-47FD-4485-8C49-E8499C517F8D}">
      <text>
        <r>
          <rPr>
            <b/>
            <sz val="12"/>
            <color indexed="81"/>
            <rFont val="Tahoma"/>
            <family val="2"/>
          </rPr>
          <t xml:space="preserve">Etagedæk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Mineraluld, Betonelement, Akrylmaling på puds
</t>
        </r>
        <r>
          <rPr>
            <b/>
            <sz val="12"/>
            <color indexed="81"/>
            <rFont val="Tahoma"/>
            <family val="2"/>
          </rPr>
          <t>Middel Konventionel:</t>
        </r>
        <r>
          <rPr>
            <sz val="12"/>
            <color indexed="81"/>
            <rFont val="Tahoma"/>
            <family val="2"/>
          </rPr>
          <t xml:space="preserve"> Trægulv på strøer, Mineraluld, Letbeton, Akrylmaling på puds
</t>
        </r>
        <r>
          <rPr>
            <b/>
            <sz val="12"/>
            <color indexed="81"/>
            <rFont val="Tahoma"/>
            <family val="2"/>
          </rPr>
          <t xml:space="preserve">Let Konventionel: </t>
        </r>
        <r>
          <rPr>
            <sz val="12"/>
            <color indexed="81"/>
            <rFont val="Tahoma"/>
            <family val="2"/>
          </rPr>
          <t xml:space="preserve">Trægulv på strøer, Mineraluld, Stål, Gips på stålprofiler
</t>
        </r>
        <r>
          <rPr>
            <b/>
            <sz val="12"/>
            <color indexed="81"/>
            <rFont val="Tahoma"/>
            <family val="2"/>
          </rPr>
          <t>Tung Lav Emission:</t>
        </r>
        <r>
          <rPr>
            <sz val="12"/>
            <color indexed="81"/>
            <rFont val="Tahoma"/>
            <family val="2"/>
          </rPr>
          <t xml:space="preserve"> Trægulv på strøer, Papiruld, CLT, Bræddeloft
</t>
        </r>
        <r>
          <rPr>
            <b/>
            <sz val="12"/>
            <color indexed="81"/>
            <rFont val="Tahoma"/>
            <family val="2"/>
          </rPr>
          <t>Middel  Lav Emission:</t>
        </r>
        <r>
          <rPr>
            <sz val="12"/>
            <color indexed="81"/>
            <rFont val="Tahoma"/>
            <family val="2"/>
          </rPr>
          <t xml:space="preserve"> Trægulv på strøer, Papiruld, CLT, Bræddeloft
</t>
        </r>
        <r>
          <rPr>
            <b/>
            <sz val="12"/>
            <color indexed="81"/>
            <rFont val="Tahoma"/>
            <family val="2"/>
          </rPr>
          <t>Let Lav Emission:</t>
        </r>
        <r>
          <rPr>
            <sz val="12"/>
            <color indexed="81"/>
            <rFont val="Tahoma"/>
            <family val="2"/>
          </rPr>
          <t xml:space="preserve"> Trægulv på strøer, Papiruld, Træ bjælker, Bræddeloft</t>
        </r>
      </text>
    </comment>
    <comment ref="O34" authorId="0" shapeId="0" xr:uid="{2C747BD0-6D92-40F8-9390-25DCFA6D2D6E}">
      <text>
        <r>
          <rPr>
            <b/>
            <sz val="12"/>
            <color indexed="81"/>
            <rFont val="Tahoma"/>
            <family val="2"/>
          </rPr>
          <t xml:space="preserve">Den samlede klimapåvirkning
</t>
        </r>
        <r>
          <rPr>
            <sz val="12"/>
            <color indexed="81"/>
            <rFont val="Tahoma"/>
            <family val="2"/>
          </rPr>
          <t>Her angives den totale sum i</t>
        </r>
        <r>
          <rPr>
            <b/>
            <sz val="12"/>
            <color indexed="81"/>
            <rFont val="Tahoma"/>
            <family val="2"/>
          </rPr>
          <t xml:space="preserve"> kg CO2</t>
        </r>
        <r>
          <rPr>
            <sz val="12"/>
            <color indexed="81"/>
            <rFont val="Tahoma"/>
            <family val="2"/>
          </rPr>
          <t xml:space="preserve"> eq for de to scenarier.</t>
        </r>
      </text>
    </comment>
    <comment ref="R34" authorId="0" shapeId="0" xr:uid="{EDA9DFD7-61C9-4A70-8DEE-A251CB5D8211}">
      <text>
        <r>
          <rPr>
            <b/>
            <sz val="11"/>
            <color indexed="81"/>
            <rFont val="Tahoma"/>
            <family val="2"/>
          </rPr>
          <t xml:space="preserve">Den samlede klimapåvirkning
</t>
        </r>
        <r>
          <rPr>
            <sz val="11"/>
            <color indexed="81"/>
            <rFont val="Tahoma"/>
            <family val="2"/>
          </rPr>
          <t xml:space="preserve">Her angives den totale sum i </t>
        </r>
        <r>
          <rPr>
            <b/>
            <sz val="11"/>
            <color indexed="81"/>
            <rFont val="Tahoma"/>
            <family val="2"/>
          </rPr>
          <t>kg CO2</t>
        </r>
        <r>
          <rPr>
            <sz val="11"/>
            <color indexed="81"/>
            <rFont val="Tahoma"/>
            <family val="2"/>
          </rPr>
          <t xml:space="preserve"> eq for de to scenarier.</t>
        </r>
      </text>
    </comment>
    <comment ref="C36" authorId="0" shapeId="0" xr:uid="{D92C81BC-1049-4AD7-A73E-B97D381B29C5}">
      <text>
        <r>
          <rPr>
            <b/>
            <sz val="12"/>
            <color indexed="81"/>
            <rFont val="Tahoma"/>
            <family val="2"/>
          </rPr>
          <t xml:space="preserve">Valg af solcelle anlæg:
</t>
        </r>
        <r>
          <rPr>
            <sz val="12"/>
            <color indexed="81"/>
            <rFont val="Tahoma"/>
            <family val="2"/>
          </rPr>
          <t>Ved etableringen af et solcelle anlæg benyttes standard solcellen automatisk.</t>
        </r>
        <r>
          <rPr>
            <b/>
            <sz val="12"/>
            <color indexed="81"/>
            <rFont val="Tahoma"/>
            <family val="2"/>
          </rPr>
          <t xml:space="preserve">
</t>
        </r>
        <r>
          <rPr>
            <sz val="12"/>
            <color indexed="81"/>
            <rFont val="Tahoma"/>
            <family val="2"/>
          </rPr>
          <t>Når</t>
        </r>
        <r>
          <rPr>
            <b/>
            <sz val="12"/>
            <color indexed="81"/>
            <rFont val="Tahoma"/>
            <family val="2"/>
          </rPr>
          <t xml:space="preserve"> Standard Solcelle </t>
        </r>
        <r>
          <rPr>
            <sz val="12"/>
            <color indexed="81"/>
            <rFont val="Tahoma"/>
            <family val="2"/>
          </rPr>
          <t xml:space="preserve">er valgt bruges værdierne for den genertiske solcelle i LCAbyg.
Hvis </t>
        </r>
        <r>
          <rPr>
            <b/>
            <sz val="12"/>
            <color indexed="81"/>
            <rFont val="Tahoma"/>
            <family val="2"/>
          </rPr>
          <t>Etableres ikke</t>
        </r>
        <r>
          <rPr>
            <sz val="12"/>
            <color indexed="81"/>
            <rFont val="Tahoma"/>
            <family val="2"/>
          </rPr>
          <t xml:space="preserve"> er valgt medregnes påvirkningen fra solcellerne ikke, hverken på materialernes klimapåvirkning eller driften.
Hvis man ønsker at benytte en</t>
        </r>
        <r>
          <rPr>
            <b/>
            <sz val="12"/>
            <color indexed="81"/>
            <rFont val="Tahoma"/>
            <family val="2"/>
          </rPr>
          <t xml:space="preserve"> produkt specifik solcelle</t>
        </r>
        <r>
          <rPr>
            <sz val="12"/>
            <color indexed="81"/>
            <rFont val="Tahoma"/>
            <family val="2"/>
          </rPr>
          <t xml:space="preserve"> eller vælge ikke at etablerer et solcelle anlæg i et af scenarierne kan man ændre dette under solcelle menuen. Benyt Genvejen for at navigere der til.
</t>
        </r>
        <r>
          <rPr>
            <b/>
            <sz val="12"/>
            <color indexed="81"/>
            <rFont val="Tahoma"/>
            <family val="2"/>
          </rPr>
          <t xml:space="preserve">
</t>
        </r>
        <r>
          <rPr>
            <sz val="12"/>
            <color indexed="81"/>
            <rFont val="Tahoma"/>
            <family val="2"/>
          </rPr>
          <t xml:space="preserve">Under menuen for solceller kan brugeren </t>
        </r>
        <r>
          <rPr>
            <b/>
            <sz val="12"/>
            <color indexed="81"/>
            <rFont val="Tahoma"/>
            <family val="2"/>
          </rPr>
          <t>tilpasse indstillingerne af solcellerne</t>
        </r>
        <r>
          <rPr>
            <sz val="12"/>
            <color indexed="81"/>
            <rFont val="Tahoma"/>
            <family val="2"/>
          </rPr>
          <t>, så som vinkel, orientering og placering. Brugeren skal dog være opmærksom på at disse ikke ændres tilbage tilbage til standard indstillingerne automatisk. Dette skal gøres manuelt.</t>
        </r>
        <r>
          <rPr>
            <b/>
            <sz val="12"/>
            <color indexed="81"/>
            <rFont val="Tahoma"/>
            <family val="2"/>
          </rPr>
          <t xml:space="preserve">
</t>
        </r>
      </text>
    </comment>
    <comment ref="E36" authorId="0" shapeId="0" xr:uid="{446DF2D4-720B-4A82-9836-91B752C94A8F}">
      <text>
        <r>
          <rPr>
            <b/>
            <sz val="12"/>
            <color indexed="81"/>
            <rFont val="Tahoma"/>
            <family val="2"/>
          </rPr>
          <t xml:space="preserve">Valg af solcelle anlæg:
</t>
        </r>
        <r>
          <rPr>
            <sz val="12"/>
            <color indexed="81"/>
            <rFont val="Tahoma"/>
            <family val="2"/>
          </rPr>
          <t>Ved etableringen af et solcelle anlæg benyttes standard solcellen automatisk.</t>
        </r>
        <r>
          <rPr>
            <b/>
            <sz val="12"/>
            <color indexed="81"/>
            <rFont val="Tahoma"/>
            <family val="2"/>
          </rPr>
          <t xml:space="preserve">
</t>
        </r>
        <r>
          <rPr>
            <sz val="12"/>
            <color indexed="81"/>
            <rFont val="Tahoma"/>
            <family val="2"/>
          </rPr>
          <t>Når</t>
        </r>
        <r>
          <rPr>
            <b/>
            <sz val="12"/>
            <color indexed="81"/>
            <rFont val="Tahoma"/>
            <family val="2"/>
          </rPr>
          <t xml:space="preserve"> Standard Solcelle </t>
        </r>
        <r>
          <rPr>
            <sz val="12"/>
            <color indexed="81"/>
            <rFont val="Tahoma"/>
            <family val="2"/>
          </rPr>
          <t xml:space="preserve">er valgt bruges værdierne for den genertiske solcelle i LCAbyg.
Hvis </t>
        </r>
        <r>
          <rPr>
            <b/>
            <sz val="12"/>
            <color indexed="81"/>
            <rFont val="Tahoma"/>
            <family val="2"/>
          </rPr>
          <t>Etableres ikke</t>
        </r>
        <r>
          <rPr>
            <sz val="12"/>
            <color indexed="81"/>
            <rFont val="Tahoma"/>
            <family val="2"/>
          </rPr>
          <t xml:space="preserve"> er valgt medregnes påvirkningen fra solcellerne ikke, hverken på materialernes klimapåvirkning eller driften.
Hvis man ønsker at benytte en</t>
        </r>
        <r>
          <rPr>
            <b/>
            <sz val="12"/>
            <color indexed="81"/>
            <rFont val="Tahoma"/>
            <family val="2"/>
          </rPr>
          <t xml:space="preserve"> produkt specifik solcelle</t>
        </r>
        <r>
          <rPr>
            <sz val="12"/>
            <color indexed="81"/>
            <rFont val="Tahoma"/>
            <family val="2"/>
          </rPr>
          <t xml:space="preserve"> eller vælge ikke at etablerer et solcelle anlæg i et af scenarierne kan man ændre dette under solcelle menuen. Benyt Genvejen for at navigere der til.
</t>
        </r>
        <r>
          <rPr>
            <b/>
            <sz val="12"/>
            <color indexed="81"/>
            <rFont val="Tahoma"/>
            <family val="2"/>
          </rPr>
          <t xml:space="preserve">
</t>
        </r>
        <r>
          <rPr>
            <sz val="12"/>
            <color indexed="81"/>
            <rFont val="Tahoma"/>
            <family val="2"/>
          </rPr>
          <t xml:space="preserve">Under menuen for solceller kan brugeren </t>
        </r>
        <r>
          <rPr>
            <b/>
            <sz val="12"/>
            <color indexed="81"/>
            <rFont val="Tahoma"/>
            <family val="2"/>
          </rPr>
          <t>tilpasse indstillingerne af solcellerne</t>
        </r>
        <r>
          <rPr>
            <sz val="12"/>
            <color indexed="81"/>
            <rFont val="Tahoma"/>
            <family val="2"/>
          </rPr>
          <t>, så som vinkel, orientering og placering. Brugeren skal dog være opmærksom på at disse ikke ændres tilbage tilbage til standard indstillingerne automatisk. Dette skal gøres manuelt.</t>
        </r>
        <r>
          <rPr>
            <b/>
            <sz val="12"/>
            <color indexed="81"/>
            <rFont val="Tahoma"/>
            <family val="2"/>
          </rPr>
          <t xml:space="preserve">
</t>
        </r>
      </text>
    </comment>
    <comment ref="O38" authorId="0" shapeId="0" xr:uid="{F93A7FF7-57FA-4C75-9E46-902230DAAFBD}">
      <text>
        <r>
          <rPr>
            <b/>
            <sz val="12"/>
            <color indexed="81"/>
            <rFont val="Tahoma"/>
            <family val="2"/>
          </rPr>
          <t xml:space="preserve">Mængden af biogent materiale
</t>
        </r>
        <r>
          <rPr>
            <sz val="12"/>
            <color indexed="81"/>
            <rFont val="Tahoma"/>
            <family val="2"/>
          </rPr>
          <t>Her angives mængden af biogent materiale i kg for de to scenarie.
Dette er et groft estimat baseret på oplysninger fra LCAbyg.
Der skal tages forbehold for at mængden af biogent materiale fra genbrugs og brugerdefineret materialer ikke medregnes.</t>
        </r>
      </text>
    </comment>
    <comment ref="F39" authorId="0" shapeId="0" xr:uid="{8702D605-2135-4C81-B5C5-D5E4163E6561}">
      <text>
        <r>
          <rPr>
            <sz val="12"/>
            <color indexed="81"/>
            <rFont val="Tahoma"/>
            <family val="2"/>
          </rPr>
          <t xml:space="preserve">Her kan </t>
        </r>
        <r>
          <rPr>
            <b/>
            <sz val="12"/>
            <color indexed="81"/>
            <rFont val="Tahoma"/>
            <family val="2"/>
          </rPr>
          <t>bygningsbredden</t>
        </r>
        <r>
          <rPr>
            <sz val="12"/>
            <color indexed="81"/>
            <rFont val="Tahoma"/>
            <family val="2"/>
          </rPr>
          <t xml:space="preserve"> angives manuelt, hvis dette ønskes skal </t>
        </r>
        <r>
          <rPr>
            <b/>
            <sz val="12"/>
            <color indexed="81"/>
            <rFont val="Tahoma"/>
            <family val="2"/>
          </rPr>
          <t xml:space="preserve">Ja </t>
        </r>
        <r>
          <rPr>
            <sz val="12"/>
            <color indexed="81"/>
            <rFont val="Tahoma"/>
            <family val="2"/>
          </rPr>
          <t>angives.</t>
        </r>
      </text>
    </comment>
    <comment ref="F40" authorId="0" shapeId="0" xr:uid="{B8CC2467-1133-4995-93A8-E49CBB5452DA}">
      <text>
        <r>
          <rPr>
            <sz val="12"/>
            <color indexed="81"/>
            <rFont val="Tahoma"/>
            <family val="2"/>
          </rPr>
          <t xml:space="preserve">Her kan </t>
        </r>
        <r>
          <rPr>
            <b/>
            <sz val="12"/>
            <color indexed="81"/>
            <rFont val="Tahoma"/>
            <family val="2"/>
          </rPr>
          <t>Etagehøjden</t>
        </r>
        <r>
          <rPr>
            <sz val="12"/>
            <color indexed="81"/>
            <rFont val="Tahoma"/>
            <family val="2"/>
          </rPr>
          <t xml:space="preserve"> angives manuelt, hvis dette ønskes skal </t>
        </r>
        <r>
          <rPr>
            <b/>
            <sz val="12"/>
            <color indexed="81"/>
            <rFont val="Tahoma"/>
            <family val="2"/>
          </rPr>
          <t xml:space="preserve">Ja </t>
        </r>
        <r>
          <rPr>
            <sz val="12"/>
            <color indexed="81"/>
            <rFont val="Tahoma"/>
            <family val="2"/>
          </rPr>
          <t>angives.</t>
        </r>
      </text>
    </comment>
    <comment ref="O42" authorId="0" shapeId="0" xr:uid="{3BD701E4-BB02-428D-9E22-7B3E15D925DC}">
      <text>
        <r>
          <rPr>
            <b/>
            <sz val="12"/>
            <color indexed="81"/>
            <rFont val="Tahoma"/>
            <family val="2"/>
          </rPr>
          <t>Mængden af biogent materiale</t>
        </r>
        <r>
          <rPr>
            <sz val="12"/>
            <color indexed="81"/>
            <rFont val="Tahoma"/>
            <family val="2"/>
          </rPr>
          <t xml:space="preserve">
Her angives mængden af biogent materiale i kg for de to scenarie.
Dette er et groft estimat baseret på oplysninger fra LCAbyg.
Der skal tages forbehold for at mængden af biogent materiale fra genbrugs og brugerdefineret materialer ikke medregnes.</t>
        </r>
      </text>
    </comment>
    <comment ref="R42" authorId="0" shapeId="0" xr:uid="{2AD460BC-43A5-455B-BF1E-4AEAF39A56FC}">
      <text>
        <r>
          <rPr>
            <b/>
            <sz val="12"/>
            <color indexed="81"/>
            <rFont val="Tahoma"/>
            <family val="2"/>
          </rPr>
          <t>Mængden af biogent materiale</t>
        </r>
        <r>
          <rPr>
            <sz val="12"/>
            <color indexed="81"/>
            <rFont val="Tahoma"/>
            <family val="2"/>
          </rPr>
          <t xml:space="preserve">
Her angives mængden af biogent materiale i kg for de to scenarie.
Dette er et groft estimat baseret på oplysninger fra LCAbyg.
Der skal tages forbehold for at mængden af biogent materiale fra genbrugs og brugerdefineret materialer ikke medregnes.</t>
        </r>
      </text>
    </comment>
    <comment ref="E45" authorId="0" shapeId="0" xr:uid="{639738F3-8A95-471B-9ECA-F473F696E785}">
      <text>
        <r>
          <rPr>
            <b/>
            <sz val="12"/>
            <color indexed="81"/>
            <rFont val="Tahoma"/>
            <family val="2"/>
          </rPr>
          <t xml:space="preserve">Her angives arealet af det tilhørende solcelleanlæg.
</t>
        </r>
        <r>
          <rPr>
            <sz val="12"/>
            <color indexed="81"/>
            <rFont val="Tahoma"/>
            <family val="2"/>
          </rPr>
          <t>Vær opmærksom på at størrelsen på solcelleanlægget angives i kvm.
Størrelsen ændres derfor ikke automatisk selvom størrelsen på tagarealet øges.</t>
        </r>
      </text>
    </comment>
    <comment ref="O45" authorId="0" shapeId="0" xr:uid="{9F594773-7B9C-436B-BC21-605FF6315F78}">
      <text>
        <r>
          <rPr>
            <b/>
            <sz val="12"/>
            <color indexed="81"/>
            <rFont val="Tahoma"/>
            <family val="2"/>
          </rPr>
          <t xml:space="preserve">Potentiale for genbrug
</t>
        </r>
        <r>
          <rPr>
            <sz val="12"/>
            <color indexed="81"/>
            <rFont val="Tahoma"/>
            <family val="2"/>
          </rPr>
          <t xml:space="preserve">Potentialet er udregnet på baggrund af den totale sum af </t>
        </r>
        <r>
          <rPr>
            <b/>
            <sz val="12"/>
            <color indexed="81"/>
            <rFont val="Tahoma"/>
            <family val="2"/>
          </rPr>
          <t xml:space="preserve">D-fasen </t>
        </r>
        <r>
          <rPr>
            <sz val="12"/>
            <color indexed="81"/>
            <rFont val="Tahoma"/>
            <family val="2"/>
          </rPr>
          <t xml:space="preserve">for alle bygningsdelene.
Resultatet angiver hvor stor en procentdel af det samlede CO2 aftryk </t>
        </r>
        <r>
          <rPr>
            <b/>
            <sz val="12"/>
            <color indexed="81"/>
            <rFont val="Tahoma"/>
            <family val="2"/>
          </rPr>
          <t>der potentielt ikke udledes</t>
        </r>
        <r>
          <rPr>
            <sz val="12"/>
            <color indexed="81"/>
            <rFont val="Tahoma"/>
            <family val="2"/>
          </rPr>
          <t>, hvis materialerne genbruges/ genanvendes til deres fulde potentiale.
Ved affaldsbehandlingen kan der være en gavnlig effekt ved genbrug, genanvendelse eller anden nyttiggørelse. Dette er fase D, som kaldes Uden for projekt. D-fasen skal i forhold til klimakravene indgå i dokumentationen, men skal ikke regnes med i LCA-resultatet. Det skal i stedet for opgøres separat. Den gavnlige effekt i fase D tilkommer den næste livscyklus, som materialerne vil indgå i.</t>
        </r>
      </text>
    </comment>
    <comment ref="F49" authorId="0" shapeId="0" xr:uid="{DBD34FCA-0584-4D58-9EDC-2A27BC7C2310}">
      <text>
        <r>
          <rPr>
            <b/>
            <sz val="12"/>
            <color indexed="81"/>
            <rFont val="Tahoma"/>
            <family val="2"/>
          </rPr>
          <t xml:space="preserve">Her angives arealet af tilhørende kælder.
</t>
        </r>
        <r>
          <rPr>
            <sz val="12"/>
            <color indexed="81"/>
            <rFont val="Tahoma"/>
            <family val="2"/>
          </rPr>
          <t>Vær opmærksom på at arealet angives i procent af det samlede reference areal. 
Kælder størrelsen ændres derfor automatisk når det samlede reference areal ændres og bør derfor eftertjekkes og korrigeres hvis der ønskes et specifikt areal.</t>
        </r>
      </text>
    </comment>
    <comment ref="O49" authorId="0" shapeId="0" xr:uid="{B76FD73A-1461-4A37-A541-199D22C593F6}">
      <text>
        <r>
          <rPr>
            <b/>
            <sz val="12"/>
            <color indexed="81"/>
            <rFont val="Tahoma"/>
            <family val="2"/>
          </rPr>
          <t>Potentiale for genbrug</t>
        </r>
        <r>
          <rPr>
            <sz val="12"/>
            <color indexed="81"/>
            <rFont val="Tahoma"/>
            <family val="2"/>
          </rPr>
          <t xml:space="preserve">
Potentialet er udregnet på baggrund af den totale sum af D-fasen for alle bygningsdelene.
Resultatet angiver hvor stor en procentdel af det </t>
        </r>
        <r>
          <rPr>
            <b/>
            <sz val="12"/>
            <color indexed="81"/>
            <rFont val="Tahoma"/>
            <family val="2"/>
          </rPr>
          <t>samlede CO2 aftryk der potentielt ikke udledes</t>
        </r>
        <r>
          <rPr>
            <sz val="12"/>
            <color indexed="81"/>
            <rFont val="Tahoma"/>
            <family val="2"/>
          </rPr>
          <t>, hvis materialerne genbruges/ genanvendes til deres fulde potentiale.
Ved affaldsbehandlingen kan der være en gavnlig effekt ved genbrug, genanvendelse eller anden nyttiggørelse. Dette er fase D, som kaldes Uden for projekt. D-fasen skal i forhold til klimakravene indgå i dokumentationen, men skal ikke regnes med i LCA-resultatet. Det skal i stedet for opgøres separat. Den gavnlige effekt i fase D tilkommer den næste livscyklus, som materialerne vil indgå i.</t>
        </r>
        <r>
          <rPr>
            <b/>
            <sz val="9"/>
            <color indexed="81"/>
            <rFont val="Tahoma"/>
            <family val="2"/>
          </rPr>
          <t xml:space="preserve">
</t>
        </r>
      </text>
    </comment>
    <comment ref="R49" authorId="0" shapeId="0" xr:uid="{DC7B94B8-3E52-43C4-AE02-D5C05D31D2F7}">
      <text>
        <r>
          <rPr>
            <b/>
            <sz val="12"/>
            <color indexed="81"/>
            <rFont val="Tahoma"/>
            <family val="2"/>
          </rPr>
          <t>Potentiale for genbrug</t>
        </r>
        <r>
          <rPr>
            <sz val="12"/>
            <color indexed="81"/>
            <rFont val="Tahoma"/>
            <family val="2"/>
          </rPr>
          <t xml:space="preserve">
Potentialet er udregnet på baggrund af den totale sum af D-fasen for alle bygningsdelene.
Resultatet angiver hvor stor en procentdel af det</t>
        </r>
        <r>
          <rPr>
            <b/>
            <sz val="12"/>
            <color indexed="81"/>
            <rFont val="Tahoma"/>
            <family val="2"/>
          </rPr>
          <t xml:space="preserve"> samlede CO2 aftryk der potentielt ikke udledes</t>
        </r>
        <r>
          <rPr>
            <sz val="12"/>
            <color indexed="81"/>
            <rFont val="Tahoma"/>
            <family val="2"/>
          </rPr>
          <t xml:space="preserve">, hvis materialerne genbruges/ genanvendes til deres fulde potentiale.
Ved affaldsbehandlingen kan der være en gavnlig effekt ved genbrug, genanvendelse eller anden nyttiggørelse. Dette er fase D, som kaldes Uden for projekt. D-fasen skal i forhold til klimakravene indgå i dokumentationen, men skal ikke regnes med i LCA-resultatet. Det skal i stedet for opgøres separat. Den gavnlige effekt i fase D tilkommer den næste livscyklus, som materialerne vil indgå i.
</t>
        </r>
      </text>
    </comment>
    <comment ref="F75" authorId="1" shapeId="0" xr:uid="{DD76FC85-5FD4-4E10-A22C-B047033CCB96}">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75" authorId="1" shapeId="0" xr:uid="{B28EEA0E-29E3-4520-AB3E-BE3EA641EA29}">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77" authorId="2" shapeId="0" xr:uid="{DD1B8312-362C-4FFE-A405-B43E9A2C5D7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77" authorId="2" shapeId="0" xr:uid="{C34E2BCC-D102-4E72-903B-CD615F02CEE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79" authorId="1" shapeId="0" xr:uid="{31AC1432-27D9-4577-908D-11216E25BAD6}">
      <text>
        <r>
          <rPr>
            <sz val="9"/>
            <color indexed="81"/>
            <rFont val="Tahoma"/>
            <family val="2"/>
          </rPr>
          <t>Tykkelsen af den indvendige beklædning, skal angives med udgangspunkt i beklædningen alene, og ikke inkl. evt. underliggende konstruktion</t>
        </r>
      </text>
    </comment>
    <comment ref="K79" authorId="1" shapeId="0" xr:uid="{ED4E1C93-179D-45BC-B575-870DDBCD7ED8}">
      <text>
        <r>
          <rPr>
            <sz val="9"/>
            <color indexed="81"/>
            <rFont val="Tahoma"/>
            <family val="2"/>
          </rPr>
          <t>Tykkelsen af den indvendige beklædning, skal angives med udgangspunkt i beklædningen alene, og ikke inkl. evt. underliggende konstruktion</t>
        </r>
      </text>
    </comment>
    <comment ref="C84" authorId="0" shapeId="0" xr:uid="{88F181D1-94F1-4658-867B-E5AA405AD1A9}">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85" authorId="0" shapeId="0" xr:uid="{F7785132-FB2E-4A6B-A4AC-A721E7BA31EB}">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85" authorId="0" shapeId="0" xr:uid="{D9CC36B6-88F2-4CFA-8434-770864F45DE3}">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86" authorId="1" shapeId="0" xr:uid="{5F583FDE-C7AC-4047-ADBB-2B8601A54B65}">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86" authorId="1" shapeId="0" xr:uid="{FE2F2378-18A4-4C6A-A57F-BA272E8918B6}">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88" authorId="2" shapeId="0" xr:uid="{59370574-1428-4888-BE54-7EEC09D27122}">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88" authorId="2" shapeId="0" xr:uid="{E50AA748-E49A-4D32-B4DA-B3D362E17110}">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r>
          <rPr>
            <b/>
            <sz val="11"/>
            <color theme="1"/>
            <rFont val="Calibri"/>
            <family val="2"/>
            <scheme val="minor"/>
          </rPr>
          <t>Hvis formlen slettes skal følgende indsættes i cellen:</t>
        </r>
        <r>
          <rPr>
            <sz val="11"/>
            <color theme="1"/>
            <rFont val="Calibri"/>
            <family val="2"/>
            <scheme val="minor"/>
          </rPr>
          <t xml:space="preserve">
=VLOOKUP(J86;Isoleringsmateriale;2;0)</t>
        </r>
      </text>
    </comment>
    <comment ref="F89" authorId="0" shapeId="0" xr:uid="{3BD28141-6EFA-4406-8D1D-D8BD87AAFCD2}">
      <text>
        <r>
          <rPr>
            <sz val="9"/>
            <color indexed="81"/>
            <rFont val="Tahoma"/>
            <family val="2"/>
          </rPr>
          <t>Tykkelsen af stål og træ skelet skal angives som den samme tykkelse som isolerings laget.</t>
        </r>
      </text>
    </comment>
    <comment ref="F90" authorId="1" shapeId="0" xr:uid="{15B5E32A-6287-412B-B552-5F8B23DBE8E4}">
      <text>
        <r>
          <rPr>
            <sz val="9"/>
            <color indexed="81"/>
            <rFont val="Tahoma"/>
            <family val="2"/>
          </rPr>
          <t>Tykkelsen af den indvendige beklædning, skal angives med udgangspunkt i beklædningen alene, og ikke inkl. evt. underliggende konstruktion</t>
        </r>
      </text>
    </comment>
    <comment ref="K90" authorId="1" shapeId="0" xr:uid="{E6B983B5-CD00-4275-9E94-3067E304DCEE}">
      <text>
        <r>
          <rPr>
            <sz val="9"/>
            <color indexed="81"/>
            <rFont val="Tahoma"/>
            <family val="2"/>
          </rPr>
          <t>Tykkelsen af den indvendige beklædning, skal angives med udgangspunkt i beklædningen alene, og ikke inkl. evt. underliggende konstruktion</t>
        </r>
      </text>
    </comment>
    <comment ref="C95" authorId="0" shapeId="0" xr:uid="{8601D646-DE33-436C-AE80-15A5942DCABF}">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96" authorId="0" shapeId="0" xr:uid="{D5415463-F67B-4245-98C2-4DE1ACF27CE1}">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96" authorId="0" shapeId="0" xr:uid="{860B09F4-B784-4895-AAB2-1B1CB21E9E97}">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97" authorId="1" shapeId="0" xr:uid="{70BF9ADF-B5A5-4450-8899-83B60845B24C}">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97" authorId="1" shapeId="0" xr:uid="{9F35BC64-7937-4947-9B97-6BA932DE4A4B}">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99" authorId="2" shapeId="0" xr:uid="{2A594C3E-42F4-4421-BFF9-63C3B51D2B99}">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99" authorId="2" shapeId="0" xr:uid="{01202C94-5487-448B-9A08-B2706B30262F}">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101" authorId="1" shapeId="0" xr:uid="{57B83D06-25A7-4771-BA9D-AF1D5467285E}">
      <text>
        <r>
          <rPr>
            <sz val="9"/>
            <color indexed="81"/>
            <rFont val="Tahoma"/>
            <family val="2"/>
          </rPr>
          <t>Tykkelsen af den indvendige beklædning, skal angives med udgangspunkt i beklædningen alene, og ikke inkl. evt. underliggende konstruktion</t>
        </r>
      </text>
    </comment>
    <comment ref="K101" authorId="1" shapeId="0" xr:uid="{2C1851EE-D0A3-4ED0-8A56-9ACBC2259DB7}">
      <text>
        <r>
          <rPr>
            <sz val="9"/>
            <color indexed="81"/>
            <rFont val="Tahoma"/>
            <family val="2"/>
          </rPr>
          <t>Tykkelsen af den indvendige beklædning, skal angives med udgangspunkt i beklædningen alene, og ikke inkl. evt. underliggende konstruktion</t>
        </r>
      </text>
    </comment>
    <comment ref="C106" authorId="0" shapeId="0" xr:uid="{9A1344E4-D8C2-41F7-899D-37FA7F07A1F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07" authorId="0" shapeId="0" xr:uid="{31DD4680-3B80-4871-A629-9C1F18E775C0}">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107" authorId="0" shapeId="0" xr:uid="{3A3973A0-6725-4631-932D-DFA9A3421F68}">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108" authorId="1" shapeId="0" xr:uid="{8312A085-2D66-4D34-B555-E9269B3EE36C}">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108" authorId="1" shapeId="0" xr:uid="{563DF4CC-CAC3-46A1-82D0-2C022A1280F5}">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110" authorId="2" shapeId="0" xr:uid="{B394C189-107C-437B-AE63-1A348EF4F581}">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10" authorId="2" shapeId="0" xr:uid="{CAE9265A-870E-4B11-852F-1ECD72703EA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112" authorId="1" shapeId="0" xr:uid="{C525CD6F-0965-43F6-9F8C-9FFC87F5FAB3}">
      <text>
        <r>
          <rPr>
            <sz val="9"/>
            <color indexed="81"/>
            <rFont val="Tahoma"/>
            <family val="2"/>
          </rPr>
          <t>Tykkelsen af den indvendige beklædning, skal angives med udgangspunkt i beklædningen alene, og ikke inkl. evt. underliggende konstruktion</t>
        </r>
      </text>
    </comment>
    <comment ref="K112" authorId="1" shapeId="0" xr:uid="{F86EF092-121A-45F9-90E8-F393576C020A}">
      <text>
        <r>
          <rPr>
            <sz val="9"/>
            <color indexed="81"/>
            <rFont val="Tahoma"/>
            <family val="2"/>
          </rPr>
          <t>Tykkelsen af den indvendige beklædning, skal angives med udgangspunkt i beklædningen alene, og ikke inkl. evt. underliggende konstruktion</t>
        </r>
      </text>
    </comment>
    <comment ref="C117" authorId="0" shapeId="0" xr:uid="{F92345E9-110F-4268-B616-0B4B9133CBA3}">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18" authorId="0" shapeId="0" xr:uid="{4F3F10EB-547B-4652-8FA1-4F07DBE89162}">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118" authorId="0" shapeId="0" xr:uid="{96670A4F-72AC-4E32-874B-FEDE273939D3}">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119" authorId="1" shapeId="0" xr:uid="{B3DE2EBB-4DE0-4289-B803-BD82DEDAB269}">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119" authorId="1" shapeId="0" xr:uid="{1A77C7C3-D785-4CBD-9E9D-D88356B1657F}">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121" authorId="2" shapeId="0" xr:uid="{911776DB-76AC-425C-AEE9-3A88405320C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21" authorId="2" shapeId="0" xr:uid="{AB38BB35-5E16-45E9-865D-4C7DEAC53DA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123" authorId="1" shapeId="0" xr:uid="{D2E2D820-D25A-4D23-AA3C-5EFC0CEA785B}">
      <text>
        <r>
          <rPr>
            <sz val="9"/>
            <color indexed="81"/>
            <rFont val="Tahoma"/>
            <family val="2"/>
          </rPr>
          <t>Tykkelsen af den indvendige beklædning, skal angives med udgangspunkt i beklædningen alene, og ikke inkl. evt. underliggende konstruktion</t>
        </r>
      </text>
    </comment>
    <comment ref="K123" authorId="1" shapeId="0" xr:uid="{78447CA6-8B78-49C8-B709-2F33C4EE82C7}">
      <text>
        <r>
          <rPr>
            <sz val="9"/>
            <color indexed="81"/>
            <rFont val="Tahoma"/>
            <family val="2"/>
          </rPr>
          <t>Tykkelsen af den indvendige beklædning, skal angives med udgangspunkt i beklædningen alene, og ikke inkl. evt. underliggende konstruktion</t>
        </r>
      </text>
    </comment>
    <comment ref="G143" authorId="2" shapeId="0" xr:uid="{3307A642-A4BB-459E-9610-6131FC0A8C31}">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43" authorId="2" shapeId="0" xr:uid="{635BC590-A3EC-4343-96CE-A69FD05D40E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C150" authorId="0" shapeId="0" xr:uid="{3A02BE0D-8C4B-4779-87CE-BA1F1CAA11BC}">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51" authorId="0" shapeId="0" xr:uid="{04C0D411-8F20-4750-BFD0-1E8521FA0E28}">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51" authorId="0" shapeId="0" xr:uid="{715447FE-F9A1-4FE0-9DE4-84822F7BD2E4}">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53" authorId="2" shapeId="0" xr:uid="{C4556984-C356-4CB3-AE69-2EAF55999F4A}">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53" authorId="2" shapeId="0" xr:uid="{AB317258-6AEA-473E-990E-FBC971EE7E54}">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r>
          <rPr>
            <b/>
            <sz val="11"/>
            <color theme="1"/>
            <rFont val="Calibri"/>
            <family val="2"/>
            <scheme val="minor"/>
          </rPr>
          <t xml:space="preserve">Hvis formlen slettes skal følgende ligning indsættes i cellen: 
</t>
        </r>
        <r>
          <rPr>
            <sz val="11"/>
            <color theme="1"/>
            <rFont val="Calibri"/>
            <family val="2"/>
            <scheme val="minor"/>
          </rPr>
          <t>=VLOOKUP(J86;Isoleringsmateriale;2;0)</t>
        </r>
      </text>
    </comment>
    <comment ref="C160" authorId="0" shapeId="0" xr:uid="{2CE5AE7C-9C84-4159-87E7-073881D8B6FD}">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61" authorId="0" shapeId="0" xr:uid="{43B621BB-1365-43E3-B587-195136DF71A0}">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61" authorId="0" shapeId="0" xr:uid="{19A27637-2429-4208-891D-C4554786F35C}">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63" authorId="2" shapeId="0" xr:uid="{3294A7E2-9B22-4044-ACCE-702CF1976FE3}">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63" authorId="2" shapeId="0" xr:uid="{12683B86-94CF-4A1D-9918-F2C4E01A221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C170" authorId="0" shapeId="0" xr:uid="{1168A4E8-57EF-487C-8AF9-EB369B9E4D24}">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71" authorId="0" shapeId="0" xr:uid="{2E27EDFA-104E-4FAE-B58E-04141F5E6564}">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71" authorId="0" shapeId="0" xr:uid="{410BBF64-B2D5-4E9F-BBD5-17AACAF93331}">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73" authorId="2" shapeId="0" xr:uid="{C51769F8-1DC6-4C4F-90D0-4489A76706DE}">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73" authorId="2" shapeId="0" xr:uid="{C1FF466E-1EDF-4B27-AFE7-AE48356603D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C180" authorId="0" shapeId="0" xr:uid="{33A4B48C-0DAA-4ECD-A388-DB49D6222DD4}">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81" authorId="0" shapeId="0" xr:uid="{536F9257-D8CF-4918-A491-69FD326B1ABB}">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81" authorId="0" shapeId="0" xr:uid="{EAD073D1-A6FB-42FF-8EA6-AC16B2806FF2}">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83" authorId="2" shapeId="0" xr:uid="{DE907DD2-EECB-4AE0-8C8F-418FA5B25D5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83" authorId="2" shapeId="0" xr:uid="{3FAE9B1B-9453-40FF-AAE6-5A69D18214D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dsaasd
</t>
        </r>
      </text>
    </comment>
    <comment ref="N199" authorId="3" shapeId="0" xr:uid="{AA54FB05-0A22-4A2A-A33A-CE1403460424}">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G203" authorId="2" shapeId="0" xr:uid="{55ECC7F1-ED6B-40D4-A8B1-B7F6D34089B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03" authorId="2" shapeId="0" xr:uid="{55C5E67F-33A1-459E-8261-8BB18D8E287A}">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09" authorId="3" shapeId="0" xr:uid="{EF3DF995-09F1-4EBC-8E45-200AABDB2BA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10" authorId="0" shapeId="0" xr:uid="{52AE5492-A64A-41A0-9F81-436D65086D6B}">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11" authorId="0" shapeId="0" xr:uid="{5A7920D3-EB2D-4D20-9AB8-51B75A3656A3}">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11" authorId="0" shapeId="0" xr:uid="{AC184BF5-0EFF-488A-9899-32C1E2CF17B2}">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13" authorId="2" shapeId="0" xr:uid="{79DF6148-743E-4591-A082-C65F9FF94B4D}">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13" authorId="2" shapeId="0" xr:uid="{948515E1-9810-42C0-8491-CD3BE4488AF3}">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19" authorId="3" shapeId="0" xr:uid="{A3BCD705-136A-4203-96FB-27FA6EB3DA6F}">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20" authorId="0" shapeId="0" xr:uid="{AE58F491-8400-4546-8123-FC472893D618}">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21" authorId="0" shapeId="0" xr:uid="{BA3CC748-EA3A-44AA-AAEA-74EE6AEC84AC}">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21" authorId="0" shapeId="0" xr:uid="{42E819ED-1FB7-4360-B8EE-BF83D2CC550F}">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23" authorId="2" shapeId="0" xr:uid="{675C7E8D-D52E-4F52-A6B1-575BD8D5E62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23" authorId="2" shapeId="0" xr:uid="{56925C9B-7426-4AC6-B8A2-4BA64E8B74B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29" authorId="3" shapeId="0" xr:uid="{CC030CBC-E66C-4F0F-82E8-44DF677DEB2F}">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30" authorId="0" shapeId="0" xr:uid="{8AC04823-986E-4433-91A2-C3D4D2948B9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31" authorId="0" shapeId="0" xr:uid="{E522BB18-E8F8-4FA4-A34C-D45509A6C544}">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31" authorId="0" shapeId="0" xr:uid="{84F0DEA3-2FFA-4215-A2CA-95D69888BE10}">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33" authorId="2" shapeId="0" xr:uid="{94CBA27D-4DD5-4D3C-834F-226ABE6DE44F}">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33" authorId="2" shapeId="0" xr:uid="{27DE7217-39FF-441B-8C29-E5BD32EA767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39" authorId="3" shapeId="0" xr:uid="{8A197274-FA04-44AC-BA57-6F6D56675EA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40" authorId="0" shapeId="0" xr:uid="{CA880EB1-D529-484F-B025-3DD3CA16CD2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41" authorId="0" shapeId="0" xr:uid="{248F3AF4-1197-4F8D-B56B-08EA130929FF}">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41" authorId="0" shapeId="0" xr:uid="{3AE7C0E2-1AF0-43CA-9090-5A91E3D60325}">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43" authorId="2" shapeId="0" xr:uid="{F1AB5BAD-FA43-49FB-9242-2CC24E49171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43" authorId="2" shapeId="0" xr:uid="{8F9EFCAB-DB4A-47F0-9E42-E6A2DAC2744F}">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59" authorId="3" shapeId="0" xr:uid="{6EB5C1EB-EC47-4D48-AEBF-75B97C89DA3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D262" authorId="0" shapeId="0" xr:uid="{0BB9BBD7-5B7B-4741-8378-BBF2BE1ECF18}">
      <text>
        <r>
          <rPr>
            <b/>
            <sz val="9"/>
            <color indexed="81"/>
            <rFont val="Tahoma"/>
            <family val="2"/>
          </rPr>
          <t xml:space="preserve">Fundament opbygninger:
</t>
        </r>
        <r>
          <rPr>
            <sz val="9"/>
            <color indexed="81"/>
            <rFont val="Tahoma"/>
            <family val="2"/>
          </rPr>
          <t xml:space="preserve">
Hvis </t>
        </r>
        <r>
          <rPr>
            <b/>
            <sz val="9"/>
            <color indexed="81"/>
            <rFont val="Tahoma"/>
            <family val="2"/>
          </rPr>
          <t>Vælg Selv</t>
        </r>
        <r>
          <rPr>
            <sz val="9"/>
            <color indexed="81"/>
            <rFont val="Tahoma"/>
            <family val="2"/>
          </rPr>
          <t xml:space="preserve"> er valgt i hovedmnuen kan man selv vælge fundament type i denne menu.
</t>
        </r>
        <r>
          <rPr>
            <b/>
            <sz val="9"/>
            <color indexed="81"/>
            <rFont val="Tahoma"/>
            <family val="2"/>
          </rPr>
          <t>Der vælges mellem følgende:</t>
        </r>
        <r>
          <rPr>
            <sz val="9"/>
            <color indexed="81"/>
            <rFont val="Tahoma"/>
            <family val="2"/>
          </rPr>
          <t xml:space="preserve">
Linjefundament
Punktfundament
Skruefundament</t>
        </r>
      </text>
    </comment>
    <comment ref="I262" authorId="0" shapeId="0" xr:uid="{2ABAD998-659C-4A25-95FA-17F161B7E4CD}">
      <text>
        <r>
          <rPr>
            <b/>
            <sz val="9"/>
            <color indexed="81"/>
            <rFont val="Tahoma"/>
            <family val="2"/>
          </rPr>
          <t>Fundament opbygninger:</t>
        </r>
        <r>
          <rPr>
            <sz val="9"/>
            <color indexed="81"/>
            <rFont val="Tahoma"/>
            <family val="2"/>
          </rPr>
          <t xml:space="preserve">
Hvis </t>
        </r>
        <r>
          <rPr>
            <b/>
            <sz val="9"/>
            <color indexed="81"/>
            <rFont val="Tahoma"/>
            <family val="2"/>
          </rPr>
          <t>Vælg Selv</t>
        </r>
        <r>
          <rPr>
            <sz val="9"/>
            <color indexed="81"/>
            <rFont val="Tahoma"/>
            <family val="2"/>
          </rPr>
          <t xml:space="preserve"> er valgt i hovedmnuen kan man selv vælge fundament type i denne menu.
</t>
        </r>
        <r>
          <rPr>
            <b/>
            <sz val="9"/>
            <color indexed="81"/>
            <rFont val="Tahoma"/>
            <family val="2"/>
          </rPr>
          <t>Der vælges mellem følgende:</t>
        </r>
        <r>
          <rPr>
            <sz val="9"/>
            <color indexed="81"/>
            <rFont val="Tahoma"/>
            <family val="2"/>
          </rPr>
          <t xml:space="preserve">
Linjefundament
Punktfundament
Skruefundament</t>
        </r>
      </text>
    </comment>
    <comment ref="C263" authorId="0" shapeId="0" xr:uid="{FF3B4771-082E-4753-973D-452F09E8BA36}">
      <text>
        <r>
          <rPr>
            <b/>
            <sz val="12"/>
            <color indexed="81"/>
            <rFont val="Tahoma"/>
            <family val="2"/>
          </rPr>
          <t xml:space="preserve">Er fundamentet omfattende?
</t>
        </r>
        <r>
          <rPr>
            <sz val="12"/>
            <color indexed="81"/>
            <rFont val="Tahoma"/>
            <family val="2"/>
          </rPr>
          <t xml:space="preserve">Hvis </t>
        </r>
        <r>
          <rPr>
            <b/>
            <sz val="12"/>
            <color indexed="81"/>
            <rFont val="Tahoma"/>
            <family val="2"/>
          </rPr>
          <t>"Nej"</t>
        </r>
        <r>
          <rPr>
            <sz val="12"/>
            <color indexed="81"/>
            <rFont val="Tahoma"/>
            <family val="2"/>
          </rPr>
          <t xml:space="preserve"> baseres aftrykket fra fundamentet på hvad det normalt kræver at nå en bærende jorddybde for et 1-2 etagers byggeri. 
Hvis </t>
        </r>
        <r>
          <rPr>
            <b/>
            <sz val="12"/>
            <color indexed="81"/>
            <rFont val="Tahoma"/>
            <family val="2"/>
          </rPr>
          <t>"Ja"</t>
        </r>
        <r>
          <rPr>
            <sz val="12"/>
            <color indexed="81"/>
            <rFont val="Tahoma"/>
            <family val="2"/>
          </rPr>
          <t xml:space="preserve"> ganges aftrykket fra fundamentet med en faktor der linært forøges med antallet af etager. Dette skal tage højde for konstruktionen af høje bygninger hvor ekstensiv pilotering er nødvendig for at nå den bærende jorddybde.
Vær dog opmærksom på at værktøjet ikke er designet til at arbejde med højhuse. Denne korrektion er derfor ikke nok til at give et retvisende resultat for et højhus da der ikke tages højde det øget materiale forbrug der kommer ved de øgede krav for bygnignens bæreevne. 
Det anbefales derfor at værktøjet primært benyttes ved lavere bebyggelse mellem 1-5 etager.</t>
        </r>
      </text>
    </comment>
    <comment ref="N284" authorId="3" shapeId="0" xr:uid="{1B4D268B-89F5-4270-A31E-9531187A36E7}">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F288" authorId="2" shapeId="0" xr:uid="{CB385F42-1B5F-424C-A978-8F82FE369F35}">
      <text>
        <r>
          <rPr>
            <b/>
            <sz val="9"/>
            <color indexed="81"/>
            <rFont val="Tahoma"/>
            <family val="2"/>
          </rPr>
          <t xml:space="preserve">Kendt u-værdi
</t>
        </r>
        <r>
          <rPr>
            <sz val="9"/>
            <color indexed="81"/>
            <rFont val="Tahoma"/>
            <family val="2"/>
          </rPr>
          <t xml:space="preserve">Kendes vindues eksakte u-værdi, kan denne indtastes her.
</t>
        </r>
      </text>
    </comment>
    <comment ref="K288" authorId="2" shapeId="0" xr:uid="{BF046F30-E891-4E36-B6B8-2E0FE4D34544}">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294" authorId="3" shapeId="0" xr:uid="{ECFAF701-87D5-444B-94B9-16ED664D5DD5}">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95" authorId="0" shapeId="0" xr:uid="{3E8CAA33-EE66-4C04-8F1F-F31C6E91BF0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298" authorId="2" shapeId="0" xr:uid="{87DF6F15-4EC7-4DA5-9A99-2BE5174A3FAD}">
      <text>
        <r>
          <rPr>
            <b/>
            <sz val="9"/>
            <color indexed="81"/>
            <rFont val="Tahoma"/>
            <family val="2"/>
          </rPr>
          <t xml:space="preserve">Kendt u-værdi
</t>
        </r>
        <r>
          <rPr>
            <sz val="9"/>
            <color indexed="81"/>
            <rFont val="Tahoma"/>
            <family val="2"/>
          </rPr>
          <t xml:space="preserve">Kendes vindues eksakte u-værdi, kan denne indtastes her.
</t>
        </r>
      </text>
    </comment>
    <comment ref="K298" authorId="2" shapeId="0" xr:uid="{56E8C060-1654-4B2D-B727-17C4B3EBDF35}">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03" authorId="3" shapeId="0" xr:uid="{4BC5CFA8-D2BE-4E0D-9FC8-651C4D8BCB64}">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04" authorId="0" shapeId="0" xr:uid="{9B31AB08-647F-4C8C-858E-34BEBA2CE557}">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307" authorId="2" shapeId="0" xr:uid="{B6249CFC-2A98-4858-B0BA-B684567DE68C}">
      <text>
        <r>
          <rPr>
            <b/>
            <sz val="9"/>
            <color indexed="81"/>
            <rFont val="Tahoma"/>
            <family val="2"/>
          </rPr>
          <t xml:space="preserve">Kendt u-værdi
</t>
        </r>
        <r>
          <rPr>
            <sz val="9"/>
            <color indexed="81"/>
            <rFont val="Tahoma"/>
            <family val="2"/>
          </rPr>
          <t xml:space="preserve">Kendes vindues eksakte u-værdi, kan denne indtastes her.
</t>
        </r>
      </text>
    </comment>
    <comment ref="K307" authorId="2" shapeId="0" xr:uid="{600A92F6-B57B-454A-81B7-66AC1F73189C}">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12" authorId="3" shapeId="0" xr:uid="{B55F7671-569C-4B17-B461-81B71A68967A}">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13" authorId="0" shapeId="0" xr:uid="{1BD6A041-7B60-486E-B79A-DEABF703F9C0}">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316" authorId="2" shapeId="0" xr:uid="{C790D7A4-572F-4BD6-A48A-95F965A2E634}">
      <text>
        <r>
          <rPr>
            <b/>
            <sz val="9"/>
            <color indexed="81"/>
            <rFont val="Tahoma"/>
            <family val="2"/>
          </rPr>
          <t xml:space="preserve">Kendt u-værdi
</t>
        </r>
        <r>
          <rPr>
            <sz val="9"/>
            <color indexed="81"/>
            <rFont val="Tahoma"/>
            <family val="2"/>
          </rPr>
          <t xml:space="preserve">Kendes vindues eksakte u-værdi, kan denne indtastes her.
</t>
        </r>
      </text>
    </comment>
    <comment ref="K316" authorId="2" shapeId="0" xr:uid="{8BA1B154-B1CA-486A-9867-9FA26FD0BBEC}">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21" authorId="3" shapeId="0" xr:uid="{DBAFDEFF-8588-448E-87CD-6A9A128A0751}">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22" authorId="0" shapeId="0" xr:uid="{5E3CB196-CCC8-4A59-9B9D-5E4C04155059}">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325" authorId="2" shapeId="0" xr:uid="{E4D4D016-FE9C-4640-AA3C-C3BCAC2847A7}">
      <text>
        <r>
          <rPr>
            <b/>
            <sz val="9"/>
            <color indexed="81"/>
            <rFont val="Tahoma"/>
            <family val="2"/>
          </rPr>
          <t xml:space="preserve">Kendt u-værdi
</t>
        </r>
        <r>
          <rPr>
            <sz val="9"/>
            <color indexed="81"/>
            <rFont val="Tahoma"/>
            <family val="2"/>
          </rPr>
          <t xml:space="preserve">Kendes vindues eksakte u-værdi, kan denne indtastes her.
</t>
        </r>
      </text>
    </comment>
    <comment ref="K325" authorId="2" shapeId="0" xr:uid="{C7D07FC0-E7FB-4097-AF36-E23DDDA6CB32}">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41" authorId="3" shapeId="0" xr:uid="{4F8928E8-DCD4-47F2-9250-D61AFD2B2364}">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F344" authorId="1" shapeId="0" xr:uid="{B3CF9AAE-D497-41FB-B043-BAD173466E19}">
      <text>
        <r>
          <rPr>
            <sz val="9"/>
            <color indexed="81"/>
            <rFont val="Tahoma"/>
            <family val="2"/>
          </rPr>
          <t>Tykkelsen af den indvendige beklædning, skal angives med udgangspunkt i beklædningen alene, og ikke inkl. evt. underliggende konstruktion</t>
        </r>
      </text>
    </comment>
    <comment ref="K344" authorId="1" shapeId="0" xr:uid="{AF0F612A-E4A4-4C73-A5EF-0C42DF56348A}">
      <text>
        <r>
          <rPr>
            <sz val="9"/>
            <color indexed="81"/>
            <rFont val="Tahoma"/>
            <family val="2"/>
          </rPr>
          <t>Tykkelsen af den indvendige beklædning, skal angives med udgangspunkt i beklædningen alene, og ikke inkl. evt. underliggende konstruktion</t>
        </r>
      </text>
    </comment>
    <comment ref="F347" authorId="1" shapeId="0" xr:uid="{C3AD8A74-04B0-4DCF-8271-A0097B31DD0F}">
      <text>
        <r>
          <rPr>
            <sz val="9"/>
            <color indexed="81"/>
            <rFont val="Tahoma"/>
            <family val="2"/>
          </rPr>
          <t>Tykkelsen af den indvendige beklædning, skal angives med udgangspunkt i beklædningen alene, og ikke inkl. evt. underliggende konstruktion</t>
        </r>
      </text>
    </comment>
    <comment ref="K347" authorId="1" shapeId="0" xr:uid="{3C9C8082-8A3E-429D-A5DA-1D666F792B73}">
      <text>
        <r>
          <rPr>
            <sz val="9"/>
            <color indexed="81"/>
            <rFont val="Tahoma"/>
            <family val="2"/>
          </rPr>
          <t>Tykkelsen af den indvendige beklædning, skal angives med udgangspunkt i beklædningen alene, og ikke inkl. evt. underliggende konstruktion</t>
        </r>
      </text>
    </comment>
    <comment ref="N351" authorId="3" shapeId="0" xr:uid="{4F14C76A-A713-4869-8D8B-8F277ECE0350}">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52" authorId="0" shapeId="0" xr:uid="{FBD7AEAB-59EB-4D5F-BE92-C8BB75443EF7}">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53" authorId="0" shapeId="0" xr:uid="{40A77C9F-FABB-4AAB-B1D5-A83D90237FE0}">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53" authorId="0" shapeId="0" xr:uid="{3B5DC9ED-4DAE-4E2C-9D25-B4555EE14043}">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54" authorId="1" shapeId="0" xr:uid="{50722F3B-3E24-428D-B6C4-97C8260E36C0}">
      <text>
        <r>
          <rPr>
            <sz val="9"/>
            <color indexed="81"/>
            <rFont val="Tahoma"/>
            <family val="2"/>
          </rPr>
          <t>Tykkelsen af den indvendige beklædning, skal angives med udgangspunkt i beklædningen alene, og ikke inkl. evt. underliggende konstruktion</t>
        </r>
      </text>
    </comment>
    <comment ref="K354" authorId="1" shapeId="0" xr:uid="{0B4150BD-53F9-4560-8ED6-926679129413}">
      <text>
        <r>
          <rPr>
            <sz val="9"/>
            <color indexed="81"/>
            <rFont val="Tahoma"/>
            <family val="2"/>
          </rPr>
          <t>Tykkelsen af den indvendige beklædning, skal angives med udgangspunkt i beklædningen alene, og ikke inkl. evt. underliggende konstruktion</t>
        </r>
      </text>
    </comment>
    <comment ref="F357" authorId="1" shapeId="0" xr:uid="{B65DACB3-3836-4480-9708-3CB6FF33022C}">
      <text>
        <r>
          <rPr>
            <sz val="9"/>
            <color indexed="81"/>
            <rFont val="Tahoma"/>
            <family val="2"/>
          </rPr>
          <t>Tykkelsen af den indvendige beklædning, skal angives med udgangspunkt i beklædningen alene, og ikke inkl. evt. underliggende konstruktion</t>
        </r>
      </text>
    </comment>
    <comment ref="K357" authorId="1" shapeId="0" xr:uid="{A64906CC-9665-4908-A24C-D4D9BAF034DC}">
      <text>
        <r>
          <rPr>
            <sz val="9"/>
            <color indexed="81"/>
            <rFont val="Tahoma"/>
            <family val="2"/>
          </rPr>
          <t>Tykkelsen af den indvendige beklædning, skal angives med udgangspunkt i beklædningen alene, og ikke inkl. evt. underliggende konstruktion</t>
        </r>
      </text>
    </comment>
    <comment ref="N361" authorId="3" shapeId="0" xr:uid="{1D5E7F74-A8CE-4E32-830A-137A743BF955}">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62" authorId="0" shapeId="0" xr:uid="{4922DCFA-4BE1-4739-B18B-0171E6BE62F0}">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63" authorId="0" shapeId="0" xr:uid="{4EEF7461-5626-480A-A6D8-6E525572E11F}">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63" authorId="0" shapeId="0" xr:uid="{711F082F-4F5E-4F27-82E5-0D24A48ABC0E}">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64" authorId="1" shapeId="0" xr:uid="{2E4E6476-A63B-48BD-A3D1-CF2296E6ACB5}">
      <text>
        <r>
          <rPr>
            <sz val="9"/>
            <color indexed="81"/>
            <rFont val="Tahoma"/>
            <family val="2"/>
          </rPr>
          <t>Tykkelsen af den indvendige beklædning, skal angives med udgangspunkt i beklædningen alene, og ikke inkl. evt. underliggende konstruktion</t>
        </r>
      </text>
    </comment>
    <comment ref="K364" authorId="1" shapeId="0" xr:uid="{8ADCEB56-E7C6-4524-B937-C53BDB271817}">
      <text>
        <r>
          <rPr>
            <sz val="9"/>
            <color indexed="81"/>
            <rFont val="Tahoma"/>
            <family val="2"/>
          </rPr>
          <t>Tykkelsen af den indvendige beklædning, skal angives med udgangspunkt i beklædningen alene, og ikke inkl. evt. underliggende konstruktion</t>
        </r>
      </text>
    </comment>
    <comment ref="F367" authorId="1" shapeId="0" xr:uid="{AD9F7CE2-5E76-4AAA-BF4A-0029A59D079E}">
      <text>
        <r>
          <rPr>
            <sz val="9"/>
            <color indexed="81"/>
            <rFont val="Tahoma"/>
            <family val="2"/>
          </rPr>
          <t>Tykkelsen af den indvendige beklædning, skal angives med udgangspunkt i beklædningen alene, og ikke inkl. evt. underliggende konstruktion</t>
        </r>
      </text>
    </comment>
    <comment ref="K367" authorId="1" shapeId="0" xr:uid="{C7B2F2AC-0956-4600-839E-6464D3CEBCD7}">
      <text>
        <r>
          <rPr>
            <sz val="9"/>
            <color indexed="81"/>
            <rFont val="Tahoma"/>
            <family val="2"/>
          </rPr>
          <t>Tykkelsen af den indvendige beklædning, skal angives med udgangspunkt i beklædningen alene, og ikke inkl. evt. underliggende konstruktion</t>
        </r>
      </text>
    </comment>
    <comment ref="N371" authorId="3" shapeId="0" xr:uid="{AF1B6A44-2ACB-4144-8C70-C8514F1D508C}">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72" authorId="0" shapeId="0" xr:uid="{726F52DD-C3EB-404F-989F-27446F24774C}">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73" authorId="0" shapeId="0" xr:uid="{0615FDF5-1E38-4AC9-9063-4E722AADD83E}">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73" authorId="0" shapeId="0" xr:uid="{44F22381-E67A-4D94-AD5F-78FB2FD9ACCF}">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74" authorId="1" shapeId="0" xr:uid="{F66E3011-0DCA-4B21-90E3-A29367D919FF}">
      <text>
        <r>
          <rPr>
            <sz val="9"/>
            <color indexed="81"/>
            <rFont val="Tahoma"/>
            <family val="2"/>
          </rPr>
          <t>Tykkelsen af den indvendige beklædning, skal angives med udgangspunkt i beklædningen alene, og ikke inkl. evt. underliggende konstruktion</t>
        </r>
      </text>
    </comment>
    <comment ref="K374" authorId="1" shapeId="0" xr:uid="{1276B66F-6AAA-48A8-9AA5-B028E839CA02}">
      <text>
        <r>
          <rPr>
            <sz val="9"/>
            <color indexed="81"/>
            <rFont val="Tahoma"/>
            <family val="2"/>
          </rPr>
          <t>Tykkelsen af den indvendige beklædning, skal angives med udgangspunkt i beklædningen alene, og ikke inkl. evt. underliggende konstruktion</t>
        </r>
      </text>
    </comment>
    <comment ref="F377" authorId="1" shapeId="0" xr:uid="{2EE1742D-F744-4946-81FF-64F2D319E0B4}">
      <text>
        <r>
          <rPr>
            <sz val="9"/>
            <color indexed="81"/>
            <rFont val="Tahoma"/>
            <family val="2"/>
          </rPr>
          <t>Tykkelsen af den indvendige beklædning, skal angives med udgangspunkt i beklædningen alene, og ikke inkl. evt. underliggende konstruktion</t>
        </r>
      </text>
    </comment>
    <comment ref="K377" authorId="1" shapeId="0" xr:uid="{12E30148-0B7B-45C4-93D5-DD615AA6D7CA}">
      <text>
        <r>
          <rPr>
            <sz val="9"/>
            <color indexed="81"/>
            <rFont val="Tahoma"/>
            <family val="2"/>
          </rPr>
          <t>Tykkelsen af den indvendige beklædning, skal angives med udgangspunkt i beklædningen alene, og ikke inkl. evt. underliggende konstruktion</t>
        </r>
      </text>
    </comment>
    <comment ref="N381" authorId="3" shapeId="0" xr:uid="{66A5EB45-B53E-4F7E-B7F3-367DBEC71100}">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82" authorId="0" shapeId="0" xr:uid="{5044B49F-AA89-4C3C-A7C5-EC36A48D8764}">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83" authorId="0" shapeId="0" xr:uid="{C8518700-B676-4255-B156-975E2AC79441}">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83" authorId="0" shapeId="0" xr:uid="{CBB393F5-5704-42F2-8B30-9C37B4F0F4F9}">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84" authorId="1" shapeId="0" xr:uid="{16AA0A25-E88B-4B6A-9CA0-D88800C444AD}">
      <text>
        <r>
          <rPr>
            <sz val="9"/>
            <color indexed="81"/>
            <rFont val="Tahoma"/>
            <family val="2"/>
          </rPr>
          <t>Tykkelsen af den indvendige beklædning, skal angives med udgangspunkt i beklædningen alene, og ikke inkl. evt. underliggende konstruktion</t>
        </r>
      </text>
    </comment>
    <comment ref="K384" authorId="1" shapeId="0" xr:uid="{CC558B23-7DC5-4E06-A59B-0539D4F8EF3E}">
      <text>
        <r>
          <rPr>
            <sz val="9"/>
            <color indexed="81"/>
            <rFont val="Tahoma"/>
            <family val="2"/>
          </rPr>
          <t>Tykkelsen af den indvendige beklædning, skal angives med udgangspunkt i beklædningen alene, og ikke inkl. evt. underliggende konstruktion</t>
        </r>
      </text>
    </comment>
    <comment ref="F387" authorId="1" shapeId="0" xr:uid="{CB6B7917-BA12-4EB7-8A19-9967F2FC207C}">
      <text>
        <r>
          <rPr>
            <sz val="9"/>
            <color indexed="81"/>
            <rFont val="Tahoma"/>
            <family val="2"/>
          </rPr>
          <t>Tykkelsen af den indvendige beklædning, skal angives med udgangspunkt i beklædningen alene, og ikke inkl. evt. underliggende konstruktion</t>
        </r>
      </text>
    </comment>
    <comment ref="K387" authorId="1" shapeId="0" xr:uid="{DCCBDCD2-D8AA-4B22-8C11-CB6087F8D97F}">
      <text>
        <r>
          <rPr>
            <sz val="9"/>
            <color indexed="81"/>
            <rFont val="Tahoma"/>
            <family val="2"/>
          </rPr>
          <t>Tykkelsen af den indvendige beklædning, skal angives med udgangspunkt i beklædningen alene, og ikke inkl. evt. underliggende konstruktion</t>
        </r>
      </text>
    </comment>
    <comment ref="N401" authorId="3" shapeId="0" xr:uid="{7A848C7D-4564-40F8-AD13-6E97D2E672BD}">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N411" authorId="3" shapeId="0" xr:uid="{EDC10688-A086-4551-9712-9141E949C62D}">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12" authorId="0" shapeId="0" xr:uid="{036CA670-54E2-493B-A8DD-027F08495F3E}">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413" authorId="0" shapeId="0" xr:uid="{048DEE9F-6D1C-4F31-AE23-6C15BD329F46}">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13" authorId="0" shapeId="0" xr:uid="{D6DBADD3-1178-4942-8A2A-F5DB68FEB253}">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N421" authorId="3" shapeId="0" xr:uid="{48225826-24DF-4FF4-A65E-C7D0F858056E}">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22" authorId="0" shapeId="0" xr:uid="{5D9CD4EE-83CB-4A23-B118-17DD25B8285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423" authorId="0" shapeId="0" xr:uid="{BB2DAD92-0EF4-491D-8057-2DB8FC3CC708}">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23" authorId="0" shapeId="0" xr:uid="{36A75FD3-1895-4B35-AF3A-060192C6F243}">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N431" authorId="3" shapeId="0" xr:uid="{4D54E755-6AD7-43C3-82B8-26411346E69E}">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32" authorId="0" shapeId="0" xr:uid="{E174D00F-3127-462E-8D28-92755C5BC2C9}">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433" authorId="0" shapeId="0" xr:uid="{EA9519C1-C4F9-4FB4-87CA-A3082F3F2611}">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33" authorId="0" shapeId="0" xr:uid="{E742B550-DC17-4168-AF53-7B9F8940658F}">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N441" authorId="3" shapeId="0" xr:uid="{A7872F1B-BAEB-4205-AF10-60B8A357DA05}">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42" authorId="0" shapeId="0" xr:uid="{622AFAB3-CC76-4649-B420-77C1E563ED08}">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H442" authorId="1" shapeId="0" xr:uid="{6BD4A231-E4BD-491D-9018-A41537CED8E3}">
      <text>
        <r>
          <rPr>
            <b/>
            <sz val="9"/>
            <color indexed="81"/>
            <rFont val="Tahoma"/>
            <family val="2"/>
          </rPr>
          <t>Den estimerede resterende levetid</t>
        </r>
        <r>
          <rPr>
            <sz val="9"/>
            <color indexed="81"/>
            <rFont val="Tahoma"/>
            <family val="2"/>
          </rPr>
          <t xml:space="preserve"> angiver, hvor lang tid, bygningsdelen forventes at holde endnu ift. den teoretiske levetid. Den beregnes bl.a. på baggrund af opførelses- og renoveringsår. 
Bliver skriftypen </t>
        </r>
        <r>
          <rPr>
            <b/>
            <sz val="9"/>
            <color indexed="81"/>
            <rFont val="Tahoma"/>
            <family val="2"/>
          </rPr>
          <t>fed med rød omrids</t>
        </r>
        <r>
          <rPr>
            <sz val="9"/>
            <color indexed="81"/>
            <rFont val="Tahoma"/>
            <family val="2"/>
          </rPr>
          <t>, bør man overveje at udskifte det pågældende konstruktionslag i samme ombærring, som det konstruktionslag, der oprindeligt var tiltænkt renoveret.
Eks.: Ønskes ydervæggen efterisoleret fra 100 mm mineral til 250 mm træfiber og den udvendige beklædnings resterende levetid er lav, bør en ny beklædning indtænkes ifm. renoveringen.</t>
        </r>
      </text>
    </comment>
    <comment ref="D443" authorId="0" shapeId="0" xr:uid="{5A444D2F-C901-473A-9893-EDBAEE7CF998}">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43" authorId="0" shapeId="0" xr:uid="{F2B603EA-59BC-4959-9A59-9A45C77A959B}">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G467" authorId="2" shapeId="0" xr:uid="{697B80CE-F2BD-42E7-B465-560D1EC1BE2E}">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467" authorId="2" shapeId="0" xr:uid="{9EA23E6F-7091-440B-B3B4-E3C3BCDFA39C}">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469" authorId="1" shapeId="0" xr:uid="{D009D73A-2289-4F28-A37E-EAEEE9E0C7CE}">
      <text>
        <r>
          <rPr>
            <sz val="9"/>
            <color indexed="81"/>
            <rFont val="Tahoma"/>
            <family val="2"/>
          </rPr>
          <t>Tykkelsen af den indvendige beklædning, skal angives med udgangspunkt i beklædningen alene, og ikke inkl. evt. underliggende konstruktion</t>
        </r>
      </text>
    </comment>
    <comment ref="K469" authorId="1" shapeId="0" xr:uid="{B9F33BBD-E7CA-48CF-B5D9-C3D402ACB760}">
      <text>
        <r>
          <rPr>
            <sz val="9"/>
            <color indexed="81"/>
            <rFont val="Tahoma"/>
            <family val="2"/>
          </rPr>
          <t>Tykkelsen af den indvendige beklædning, skal angives med udgangspunkt i beklædningen alene, og ikke inkl. evt. underliggende konstruktion</t>
        </r>
      </text>
    </comment>
    <comment ref="N473" authorId="3" shapeId="0" xr:uid="{40C7ECFA-2575-4A19-9B6F-C9AB860E1DBF}">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F479" authorId="1" shapeId="0" xr:uid="{0A32A2B0-6E54-4AB4-AA3C-520505D47394}">
      <text>
        <r>
          <rPr>
            <sz val="9"/>
            <color indexed="81"/>
            <rFont val="Tahoma"/>
            <family val="2"/>
          </rPr>
          <t>Tykkelsen af den indvendige beklædning, skal angives med udgangspunkt i beklædningen alene, og ikke inkl. evt. underliggende konstruktion</t>
        </r>
      </text>
    </comment>
    <comment ref="K479" authorId="1" shapeId="0" xr:uid="{344658AA-E004-4BBF-B8FC-0A5D009E2F6D}">
      <text>
        <r>
          <rPr>
            <sz val="9"/>
            <color indexed="81"/>
            <rFont val="Tahoma"/>
            <family val="2"/>
          </rPr>
          <t>Tykkelsen af den indvendige beklædning, skal angives med udgangspunkt i beklædningen alene, og ikke inkl. evt. underliggende konstruktion</t>
        </r>
      </text>
    </comment>
    <comment ref="N483" authorId="3" shapeId="0" xr:uid="{32BCB2AC-16EA-419E-B24D-6B25E1827B2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N532" authorId="3" shapeId="0" xr:uid="{268D89CD-6A3E-4A78-8279-93C498FFC6B0}">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tc={94D6A391-2874-427E-A212-F84E7011C35C}</author>
    <author>tc={933D685D-9B78-4C7A-A18F-2873C15498FE}</author>
    <author>Lukas Blander Enevoldsen</author>
  </authors>
  <commentList>
    <comment ref="V10" authorId="0" shapeId="0" xr:uid="{94D6A391-2874-427E-A212-F84E7011C35C}">
      <text>
        <t>[Threaded comment]
Your version of Excel allows you to read this threaded comment; however, any edits to it will get removed if the file is opened in a newer version of Excel. Learn more: https://go.microsoft.com/fwlink/?linkid=870924
Comment:
    Beregning udført i bæredygtighedsværktøj 22_09-2021</t>
      </text>
    </comment>
    <comment ref="AA10" authorId="1" shapeId="0" xr:uid="{933D685D-9B78-4C7A-A18F-2873C15498FE}">
      <text>
        <t>[Threaded comment]
Your version of Excel allows you to read this threaded comment; however, any edits to it will get removed if the file is opened in a newer version of Excel. Learn more: https://go.microsoft.com/fwlink/?linkid=870924
Comment:
    Beregning udført i bæredygtighedsværktøj 22_09-2021</t>
      </text>
    </comment>
    <comment ref="W28" authorId="2" shapeId="0" xr:uid="{662E6C1C-714B-4D51-8909-7A8A14E477C5}">
      <text>
        <r>
          <rPr>
            <b/>
            <sz val="9"/>
            <color indexed="81"/>
            <rFont val="Tahoma"/>
            <family val="2"/>
          </rPr>
          <t>Lukas Blander Enevoldsen:</t>
        </r>
        <r>
          <rPr>
            <sz val="9"/>
            <color indexed="81"/>
            <rFont val="Tahoma"/>
            <family val="2"/>
          </rPr>
          <t xml:space="preserve">
Varmetabet angives af hensyn til videre beregninger positivt, selvom det ved formel bliver negativt. Der antages en g-værdi på 0,5</t>
        </r>
      </text>
    </comment>
    <comment ref="AD112" authorId="2" shapeId="0" xr:uid="{997FC37F-C12F-4A1A-9B40-A1F4E30B4ED0}">
      <text>
        <r>
          <rPr>
            <b/>
            <sz val="9"/>
            <color indexed="81"/>
            <rFont val="Tahoma"/>
            <family val="2"/>
          </rPr>
          <t>Lukas Blander Enevoldsen:</t>
        </r>
        <r>
          <rPr>
            <sz val="9"/>
            <color indexed="81"/>
            <rFont val="Tahoma"/>
            <family val="2"/>
          </rPr>
          <t xml:space="preserve">
90 kg / m3 isolerings densitet
https://www.vvs-eksperten.dk/varme-og-klima-rorisolering-rorskale-stenuld-rorskal-o1820mm-x-1m-494368018</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<sst xmlns="http://schemas.openxmlformats.org/spreadsheetml/2006/main" count="5890" uniqueCount="1122">
  <si>
    <t>CO2-udledning pr år</t>
  </si>
  <si>
    <t>CO2 betragtninger ved materialevalg</t>
  </si>
  <si>
    <t>År-hop</t>
  </si>
  <si>
    <t>År</t>
  </si>
  <si>
    <t>Scenarie 1</t>
  </si>
  <si>
    <t>Scenarie 2</t>
  </si>
  <si>
    <t>ton CO2-ækv</t>
  </si>
  <si>
    <t>Materialer</t>
  </si>
  <si>
    <t>Drift</t>
  </si>
  <si>
    <t>Stamdata</t>
  </si>
  <si>
    <t>Adresse</t>
  </si>
  <si>
    <t>Projekt</t>
  </si>
  <si>
    <t>Udført af</t>
  </si>
  <si>
    <t>Bygningstype</t>
  </si>
  <si>
    <t>År for byggetilladelse</t>
  </si>
  <si>
    <t>Opvarmningform</t>
  </si>
  <si>
    <t>Angiv forbrug ud fra</t>
  </si>
  <si>
    <t>Energiforbrug</t>
  </si>
  <si>
    <t>CO2 udledning</t>
  </si>
  <si>
    <t>CO2 udledning i perioden</t>
  </si>
  <si>
    <t>[dd-mm-åååå]</t>
  </si>
  <si>
    <t>Driftsforbrug varme</t>
  </si>
  <si>
    <t>kWh/m2</t>
  </si>
  <si>
    <t>kg/m2 pr år</t>
  </si>
  <si>
    <t>ton</t>
  </si>
  <si>
    <t>Sundhedsbygning</t>
  </si>
  <si>
    <t>År 2023</t>
  </si>
  <si>
    <t>Fjernvarme</t>
  </si>
  <si>
    <t>Nøgletal fra Bygningsreglement</t>
  </si>
  <si>
    <t>Driftsforbrug el</t>
  </si>
  <si>
    <t xml:space="preserve">Anvendt energiforbrug: </t>
  </si>
  <si>
    <t>Betragtningsperiode</t>
  </si>
  <si>
    <t xml:space="preserve">Scenarie 1 </t>
  </si>
  <si>
    <t>Ydervægge</t>
  </si>
  <si>
    <r>
      <t>Oversigt over CO</t>
    </r>
    <r>
      <rPr>
        <b/>
        <vertAlign val="subscript"/>
        <sz val="28"/>
        <color theme="0"/>
        <rFont val="Source Sans Pro"/>
        <family val="2"/>
      </rPr>
      <t>2</t>
    </r>
    <r>
      <rPr>
        <b/>
        <sz val="28"/>
        <color theme="0"/>
        <rFont val="Source Sans Pro"/>
        <family val="2"/>
      </rPr>
      <t xml:space="preserve"> udledningen</t>
    </r>
  </si>
  <si>
    <t>Tagkonstruktioner</t>
  </si>
  <si>
    <t>Terrændæk</t>
  </si>
  <si>
    <t>Vinduer</t>
  </si>
  <si>
    <t>BR23</t>
  </si>
  <si>
    <t>Skillevægge</t>
  </si>
  <si>
    <t>Lavemission</t>
  </si>
  <si>
    <t>Etagedæk</t>
  </si>
  <si>
    <t>Installationer</t>
  </si>
  <si>
    <t>Nybyg</t>
  </si>
  <si>
    <t>Lavemissionsklasse</t>
  </si>
  <si>
    <t>4&gt;1 Planet</t>
  </si>
  <si>
    <t>Column1</t>
  </si>
  <si>
    <t>Column2</t>
  </si>
  <si>
    <t>Column3</t>
  </si>
  <si>
    <t>Column4</t>
  </si>
  <si>
    <t>År 2025</t>
  </si>
  <si>
    <t>År 2027</t>
  </si>
  <si>
    <t>Bygningsreglementets krav</t>
  </si>
  <si>
    <t>År 2029</t>
  </si>
  <si>
    <t>4 &gt; 1 Planet</t>
  </si>
  <si>
    <t>CO2 MAT, SC 1</t>
  </si>
  <si>
    <t>CO2 MAT, SC 2</t>
  </si>
  <si>
    <t>VT SC 1</t>
  </si>
  <si>
    <t>VT SC 2</t>
  </si>
  <si>
    <t>Sum væg SC1</t>
  </si>
  <si>
    <t>Sum væg SC2</t>
  </si>
  <si>
    <t>SUM TAG SC 1</t>
  </si>
  <si>
    <t>SUM TAG SC2</t>
  </si>
  <si>
    <t>SUM TÆRRENDÆK SC 1</t>
  </si>
  <si>
    <t>SUM TÆRRENDÆK SC2</t>
  </si>
  <si>
    <t>SUM VINDUER SC 1</t>
  </si>
  <si>
    <t>SUM VINDUER SC2</t>
  </si>
  <si>
    <t>SUM SV SC1</t>
  </si>
  <si>
    <t>SUM SV SC2</t>
  </si>
  <si>
    <t>SUM ETAGEDÆK SC 1</t>
  </si>
  <si>
    <t>SUM ETAGEDÆK SC 2</t>
  </si>
  <si>
    <t>kWh/m2/år</t>
  </si>
  <si>
    <t>SUM INS. SC1</t>
  </si>
  <si>
    <t>SUM INS. SC2</t>
  </si>
  <si>
    <t>SUM FUND. SC2</t>
  </si>
  <si>
    <t>kg co2/m2/år</t>
  </si>
  <si>
    <t>Ydervæg</t>
  </si>
  <si>
    <t>Vurdering af samlet udledning inkl. energibesparelse</t>
  </si>
  <si>
    <t>Konstruktionslag</t>
  </si>
  <si>
    <t>Klimaregnskab for 50 år</t>
  </si>
  <si>
    <t>Areal</t>
  </si>
  <si>
    <t>Materialetype</t>
  </si>
  <si>
    <t>Tykkelse</t>
  </si>
  <si>
    <t>Isolerings-
klasse</t>
  </si>
  <si>
    <t>Antal udskift</t>
  </si>
  <si>
    <t>Total</t>
  </si>
  <si>
    <t xml:space="preserve">Total </t>
  </si>
  <si>
    <t xml:space="preserve">CO2 Materialer Scenarie 1 </t>
  </si>
  <si>
    <t>CO2 materialer Scenarie 2</t>
  </si>
  <si>
    <t>CO2 varmetab Scenarie 1</t>
  </si>
  <si>
    <t>CO2 varmetab Scenarie 2</t>
  </si>
  <si>
    <t>Visualisering af data</t>
  </si>
  <si>
    <t>Opsmaling data</t>
  </si>
  <si>
    <r>
      <t>[m</t>
    </r>
    <r>
      <rPr>
        <vertAlign val="superscript"/>
        <sz val="9"/>
        <color theme="1"/>
        <rFont val="Calibri"/>
        <family val="2"/>
        <scheme val="minor"/>
      </rPr>
      <t>2</t>
    </r>
    <r>
      <rPr>
        <sz val="9"/>
        <color theme="1"/>
        <rFont val="Calibri"/>
        <family val="2"/>
        <scheme val="minor"/>
      </rPr>
      <t>]</t>
    </r>
  </si>
  <si>
    <t>[m]</t>
  </si>
  <si>
    <t>[W/m*K]</t>
  </si>
  <si>
    <t>[år]</t>
  </si>
  <si>
    <r>
      <t>[ton CO</t>
    </r>
    <r>
      <rPr>
        <vertAlign val="subscript"/>
        <sz val="9"/>
        <color theme="1"/>
        <rFont val="Calibri"/>
        <family val="2"/>
        <scheme val="minor"/>
      </rPr>
      <t>2eq</t>
    </r>
    <r>
      <rPr>
        <sz val="9"/>
        <color theme="1"/>
        <rFont val="Calibri"/>
        <family val="2"/>
        <scheme val="minor"/>
      </rPr>
      <t>]</t>
    </r>
  </si>
  <si>
    <t>CO2 varmetab</t>
  </si>
  <si>
    <t>kg CO2/m2 pr år</t>
  </si>
  <si>
    <t>Ton Co2</t>
  </si>
  <si>
    <t>Betonelement</t>
  </si>
  <si>
    <t xml:space="preserve">Træ </t>
  </si>
  <si>
    <t>Angiv ikke</t>
  </si>
  <si>
    <t>Afstandslister i træ</t>
  </si>
  <si>
    <t>Mineraluld</t>
  </si>
  <si>
    <t>Træfiber</t>
  </si>
  <si>
    <t>Træskelet</t>
  </si>
  <si>
    <t>Gips</t>
  </si>
  <si>
    <t>Krydsfiner</t>
  </si>
  <si>
    <t>Tilføj ydervægskonstruktion ved at trykke på "+" i venstre side</t>
  </si>
  <si>
    <t>CO2 materialer</t>
  </si>
  <si>
    <t>[NAVNGIV KONSTRUKTION]</t>
  </si>
  <si>
    <t>TAGKONSTRUKTIONER OG LOFTSBEKLÆDNING</t>
  </si>
  <si>
    <t>Tag</t>
  </si>
  <si>
    <t>Tagpap</t>
  </si>
  <si>
    <t>Tilføj tagkonstruktion ved at trykke på "+" i venstre side</t>
  </si>
  <si>
    <t>TERRÆNDÆK OG GULVOVERFLADER</t>
  </si>
  <si>
    <t>Tilføj terrændæk ved at trykke på "+" i venstre side</t>
  </si>
  <si>
    <t>VINDUER</t>
  </si>
  <si>
    <t>Kendt u-værdi</t>
  </si>
  <si>
    <t>Karmtype</t>
  </si>
  <si>
    <t>[Wm2K]</t>
  </si>
  <si>
    <t>U-værdi</t>
  </si>
  <si>
    <t>[W/m2K]</t>
  </si>
  <si>
    <t>Tilføj vinduestyper ved at trykke på "+" i venstre side</t>
  </si>
  <si>
    <t>Angiv Ikke</t>
  </si>
  <si>
    <t>SKILLEVÆGGE</t>
  </si>
  <si>
    <t>Tilføj skillevægskonstruktion ved at trykke på "+" i venstre side</t>
  </si>
  <si>
    <t>ETAGEDÆK</t>
  </si>
  <si>
    <t>Tilføj etagedæk ved at trykke på "+" i venstre side</t>
  </si>
  <si>
    <t>Varmerør</t>
  </si>
  <si>
    <t>Varmerør 1</t>
  </si>
  <si>
    <t>Nuværende</t>
  </si>
  <si>
    <t>Fremtidig</t>
  </si>
  <si>
    <t>Klimaregnskab</t>
  </si>
  <si>
    <t>[mm]</t>
  </si>
  <si>
    <t>Rørisolering</t>
  </si>
  <si>
    <t>Angiv_ikke</t>
  </si>
  <si>
    <t>Varmerør 2</t>
  </si>
  <si>
    <t>CO2-besparelse</t>
  </si>
  <si>
    <t>Varmetab</t>
  </si>
  <si>
    <t>Materiale</t>
  </si>
  <si>
    <t xml:space="preserve">Samlet              </t>
  </si>
  <si>
    <t>[ton CO2-ækv.]</t>
  </si>
  <si>
    <t>[ton CO2-ækv]</t>
  </si>
  <si>
    <t>Nyt materiale [kg CO2-ækv]</t>
  </si>
  <si>
    <t>Varmerør 3</t>
  </si>
  <si>
    <t>Visualisering af inddata</t>
  </si>
  <si>
    <t>Varmerør 4</t>
  </si>
  <si>
    <t>Varmerør 5</t>
  </si>
  <si>
    <t>VVS</t>
  </si>
  <si>
    <t>Etablering af varme og ventilation</t>
  </si>
  <si>
    <t>Etableres ikke</t>
  </si>
  <si>
    <t>varmeledningsevne</t>
  </si>
  <si>
    <t>R</t>
  </si>
  <si>
    <t>Fyringssæsson</t>
  </si>
  <si>
    <t>[h]</t>
  </si>
  <si>
    <t>Overgangsisolans, vertikalt, inde</t>
  </si>
  <si>
    <t xml:space="preserve">Indetemperatur </t>
  </si>
  <si>
    <t>[°C]</t>
  </si>
  <si>
    <t>α2</t>
  </si>
  <si>
    <t>Overgangsisolans, vertikalt, ude</t>
  </si>
  <si>
    <t>Udetemperatur</t>
  </si>
  <si>
    <t>Overgangsislans, terræn, inde</t>
  </si>
  <si>
    <t>Jordtemp</t>
  </si>
  <si>
    <t>Overgangsisolans, terræn, ude</t>
  </si>
  <si>
    <t>Overgangsisolans, tag, inde</t>
  </si>
  <si>
    <t>Overgangsisolans, tag, ude</t>
  </si>
  <si>
    <t>CO2-udledning</t>
  </si>
  <si>
    <t>W/m2K</t>
  </si>
  <si>
    <t>kWh/år</t>
  </si>
  <si>
    <t>kWh</t>
  </si>
  <si>
    <t>kg CO2-ækv.</t>
  </si>
  <si>
    <t>ton CO2-ækv/år</t>
  </si>
  <si>
    <t>W/mK</t>
  </si>
  <si>
    <t>kg/m3</t>
  </si>
  <si>
    <t>Rustfast_stål</t>
  </si>
  <si>
    <t>λstål</t>
  </si>
  <si>
    <t>Rustfast stål</t>
  </si>
  <si>
    <t>Kobber</t>
  </si>
  <si>
    <t>λkobber</t>
  </si>
  <si>
    <t>PEX</t>
  </si>
  <si>
    <t>λPEX</t>
  </si>
  <si>
    <t>λAluPEX</t>
  </si>
  <si>
    <t>PP</t>
  </si>
  <si>
    <t>Rørskål</t>
  </si>
  <si>
    <t>λiso</t>
  </si>
  <si>
    <t>Udenfor klimaskærm</t>
  </si>
  <si>
    <t>Indenfor klimaskærm</t>
  </si>
  <si>
    <t>Rørtype</t>
  </si>
  <si>
    <r>
      <t>α</t>
    </r>
    <r>
      <rPr>
        <b/>
        <sz val="7.7"/>
        <color theme="1"/>
        <rFont val="Calibri"/>
        <family val="2"/>
      </rPr>
      <t>1</t>
    </r>
  </si>
  <si>
    <t>λrør</t>
  </si>
  <si>
    <t>t1</t>
  </si>
  <si>
    <t>t2</t>
  </si>
  <si>
    <t>L</t>
  </si>
  <si>
    <t>t</t>
  </si>
  <si>
    <t>di</t>
  </si>
  <si>
    <t>dy</t>
  </si>
  <si>
    <t>tiso</t>
  </si>
  <si>
    <t>dx</t>
  </si>
  <si>
    <t>Ri</t>
  </si>
  <si>
    <t>Ru</t>
  </si>
  <si>
    <t>Rrør</t>
  </si>
  <si>
    <t>Riso</t>
  </si>
  <si>
    <r>
      <t>Σ</t>
    </r>
    <r>
      <rPr>
        <b/>
        <sz val="7.7"/>
        <color theme="1"/>
        <rFont val="Calibri"/>
        <family val="2"/>
      </rPr>
      <t>R</t>
    </r>
  </si>
  <si>
    <t>Φ</t>
  </si>
  <si>
    <t>CO2</t>
  </si>
  <si>
    <t>Isoleringstype</t>
  </si>
  <si>
    <t>Isolering</t>
  </si>
  <si>
    <t>Varmeovergangstal mellem vand og rør</t>
  </si>
  <si>
    <t>Varmeovergangstal mellem rørisolering og rumluft</t>
  </si>
  <si>
    <t>Rør varmeledningsevne</t>
  </si>
  <si>
    <t>Iso varmeledningsevne</t>
  </si>
  <si>
    <t>Vandtemp</t>
  </si>
  <si>
    <t>Omgivelsestemp</t>
  </si>
  <si>
    <t>Rørlængde</t>
  </si>
  <si>
    <t>Godstykkelse</t>
  </si>
  <si>
    <t>Indv. Diameter</t>
  </si>
  <si>
    <t>Rørdiameter</t>
  </si>
  <si>
    <t>Isoleringstykkelse</t>
  </si>
  <si>
    <t>Ind. Overgangsisolans</t>
  </si>
  <si>
    <t>Udv. Overgangsisolans</t>
  </si>
  <si>
    <t>Rør isolans</t>
  </si>
  <si>
    <t>Isolering isolans</t>
  </si>
  <si>
    <t>Sum af isolanser</t>
  </si>
  <si>
    <t>Forbrug</t>
  </si>
  <si>
    <t>Forbrug (i betragningsperiode)</t>
  </si>
  <si>
    <t>Besparelse</t>
  </si>
  <si>
    <t>Rørvolumen</t>
  </si>
  <si>
    <t>Isoleringsmængde</t>
  </si>
  <si>
    <t>[W/(mC]</t>
  </si>
  <si>
    <t>[C]</t>
  </si>
  <si>
    <t>[C*m/W]</t>
  </si>
  <si>
    <t>[W]</t>
  </si>
  <si>
    <t>[kWh/år]</t>
  </si>
  <si>
    <t>[kwh]</t>
  </si>
  <si>
    <t>Kg CO2 ækv / år</t>
  </si>
  <si>
    <t>Ton CO2 ækv.</t>
  </si>
  <si>
    <t>m3/m</t>
  </si>
  <si>
    <t>m3</t>
  </si>
  <si>
    <t>kg/m</t>
  </si>
  <si>
    <t xml:space="preserve">Antages vandrette rør </t>
  </si>
  <si>
    <t>Udv. Diameter</t>
  </si>
  <si>
    <t>Godsvolumen</t>
  </si>
  <si>
    <t>Rørdimension</t>
  </si>
  <si>
    <t>Faktor</t>
  </si>
  <si>
    <t>AluPEX</t>
  </si>
  <si>
    <t>mm</t>
  </si>
  <si>
    <t>MiddelV</t>
  </si>
  <si>
    <t>https://www.staalxperten.dk/stalror/rustfri-stalror/rustfri-stalror-ubehandlet.html</t>
  </si>
  <si>
    <t>Kilde</t>
  </si>
  <si>
    <t>staalxperten.dk</t>
  </si>
  <si>
    <t>Kilde: LCA data</t>
  </si>
  <si>
    <t>Rør</t>
  </si>
  <si>
    <t>Rør+iso</t>
  </si>
  <si>
    <t>LCA data</t>
  </si>
  <si>
    <t>Levetid</t>
  </si>
  <si>
    <t>A1-A3</t>
  </si>
  <si>
    <t>B4</t>
  </si>
  <si>
    <t>B6</t>
  </si>
  <si>
    <t>C3</t>
  </si>
  <si>
    <t>C4</t>
  </si>
  <si>
    <t>D</t>
  </si>
  <si>
    <t>Datatype</t>
  </si>
  <si>
    <t>Tykkselse af primær bygningsdel</t>
  </si>
  <si>
    <t>[kg CO2e/m2]</t>
  </si>
  <si>
    <t>[GEN/EPD]</t>
  </si>
  <si>
    <t>[kg CO2e/m2 pr. mm bygningsdel]</t>
  </si>
  <si>
    <t>Udvendig beklædning</t>
  </si>
  <si>
    <t>GEN</t>
  </si>
  <si>
    <t>Tegl</t>
  </si>
  <si>
    <t>Tegl genbrugte</t>
  </si>
  <si>
    <t>Fibercement</t>
  </si>
  <si>
    <t>Zink</t>
  </si>
  <si>
    <t>Aluminium</t>
  </si>
  <si>
    <t xml:space="preserve">Skærmtegl </t>
  </si>
  <si>
    <t>Skifer</t>
  </si>
  <si>
    <t>Plast/trækompocit</t>
  </si>
  <si>
    <t>Natursten</t>
  </si>
  <si>
    <t>Brugerdefineret_1</t>
  </si>
  <si>
    <t>Brugerdefineret_2</t>
  </si>
  <si>
    <t>Brugerdefineret_3</t>
  </si>
  <si>
    <t>Udvendig konstruktion</t>
  </si>
  <si>
    <t>Aluminimums ophæng</t>
  </si>
  <si>
    <t>Papiruld</t>
  </si>
  <si>
    <t>Celleglas</t>
  </si>
  <si>
    <t>EPS</t>
  </si>
  <si>
    <t>EPD</t>
  </si>
  <si>
    <t>Fåreuldsisolering</t>
  </si>
  <si>
    <t>Kork, expanderet</t>
  </si>
  <si>
    <t>Halm</t>
  </si>
  <si>
    <t>Træfiber granulat</t>
  </si>
  <si>
    <t>Hamp isolering</t>
  </si>
  <si>
    <t>Græs isolering</t>
  </si>
  <si>
    <t>Ingen isolering</t>
  </si>
  <si>
    <t>Indvendig konstruktion</t>
  </si>
  <si>
    <t>Betonelement C30/37</t>
  </si>
  <si>
    <t>Stålskelet</t>
  </si>
  <si>
    <t>CLT</t>
  </si>
  <si>
    <t>Porebeton</t>
  </si>
  <si>
    <t>Indvendig beklædning</t>
  </si>
  <si>
    <t>Udskiftes ikke</t>
  </si>
  <si>
    <t>Fibergips</t>
  </si>
  <si>
    <t>Trælameller</t>
  </si>
  <si>
    <t>Krydsfiner og gipsplader</t>
  </si>
  <si>
    <t>Indvendig beklædning_ler-/hampplade</t>
  </si>
  <si>
    <t>ler-/hampplade</t>
  </si>
  <si>
    <t>Tagbelægning</t>
  </si>
  <si>
    <t>Teglsten</t>
  </si>
  <si>
    <t>Ståltag</t>
  </si>
  <si>
    <t>Sedum</t>
  </si>
  <si>
    <t>Stråtag</t>
  </si>
  <si>
    <t>EPDM folie</t>
  </si>
  <si>
    <t>Tagkonstruktion</t>
  </si>
  <si>
    <t>20% mere konstruktiontræ end bjælkespær</t>
  </si>
  <si>
    <t>Gitterspær</t>
  </si>
  <si>
    <t>295x95 mm spærfod - spærafstand 1 m</t>
  </si>
  <si>
    <t>Bjælkespær</t>
  </si>
  <si>
    <t>Hanebåndsspær</t>
  </si>
  <si>
    <t>Betonhuldæk</t>
  </si>
  <si>
    <t>Loftsbeklædning</t>
  </si>
  <si>
    <t>Træbetonplader</t>
  </si>
  <si>
    <t>Bræddeloft</t>
  </si>
  <si>
    <t>Nedhængt akustik systemloft</t>
  </si>
  <si>
    <t>Perferet krydsfiner</t>
  </si>
  <si>
    <t>Gips på trælægter</t>
  </si>
  <si>
    <t>Gips på stålprofiler</t>
  </si>
  <si>
    <t>Akrylmaling på puds</t>
  </si>
  <si>
    <t>Beton C25/30</t>
  </si>
  <si>
    <t>Gulvspånplade</t>
  </si>
  <si>
    <t>Kapillarbrydende lag</t>
  </si>
  <si>
    <t>Lecanødder</t>
  </si>
  <si>
    <t xml:space="preserve">Sand </t>
  </si>
  <si>
    <t>Grus</t>
  </si>
  <si>
    <t>Stål</t>
  </si>
  <si>
    <t>Letbeton</t>
  </si>
  <si>
    <t>Betonelement C45/55</t>
  </si>
  <si>
    <t>Gulvoverflade</t>
  </si>
  <si>
    <t>Linoleum</t>
  </si>
  <si>
    <t>Gulvklinker</t>
  </si>
  <si>
    <t>Svømmende parket</t>
  </si>
  <si>
    <t xml:space="preserve">Trægulv på strøer </t>
  </si>
  <si>
    <t>Beton</t>
  </si>
  <si>
    <t>Vinyl</t>
  </si>
  <si>
    <t>Gummi</t>
  </si>
  <si>
    <t>2 lags energirude med kold kant</t>
  </si>
  <si>
    <t>2 lags energirude med varm kant</t>
  </si>
  <si>
    <t>3 lags energirude</t>
  </si>
  <si>
    <r>
      <t>[kgCO2/m</t>
    </r>
    <r>
      <rPr>
        <vertAlign val="superscript"/>
        <sz val="11"/>
        <color theme="4"/>
        <rFont val="Calibri"/>
        <family val="2"/>
        <scheme val="minor"/>
      </rPr>
      <t>2</t>
    </r>
    <r>
      <rPr>
        <sz val="11"/>
        <color theme="4"/>
        <rFont val="Calibri"/>
        <family val="2"/>
        <scheme val="minor"/>
      </rPr>
      <t>]</t>
    </r>
  </si>
  <si>
    <t>Træ/alu</t>
  </si>
  <si>
    <t>Træ</t>
  </si>
  <si>
    <t>Plastik</t>
  </si>
  <si>
    <t>Tunge skillevægge</t>
  </si>
  <si>
    <t>Teglblokke</t>
  </si>
  <si>
    <t>Teglsten genbrugt</t>
  </si>
  <si>
    <t>Glasvæg</t>
  </si>
  <si>
    <t>Lette skillevægge</t>
  </si>
  <si>
    <t>Skillevægskonstruktion</t>
  </si>
  <si>
    <t>[kg CO2e/m]</t>
  </si>
  <si>
    <t>[kg rør/m rør]</t>
  </si>
  <si>
    <t>Uændret</t>
  </si>
  <si>
    <t>Udgangspunkt rør dim [mm]</t>
  </si>
  <si>
    <t>Udgangspunkt isoleringstykkelse [mm]</t>
  </si>
  <si>
    <t>kg CO2e/mm rør pr mm. Iso</t>
  </si>
  <si>
    <t>Mineraluld rørskål</t>
  </si>
  <si>
    <t>PU skum</t>
  </si>
  <si>
    <t>EPDM</t>
  </si>
  <si>
    <t>Armering</t>
  </si>
  <si>
    <t>kg/m2</t>
  </si>
  <si>
    <t>Korrektionsfaktor</t>
  </si>
  <si>
    <t>Varme, vent, køl</t>
  </si>
  <si>
    <t>[kg CO2e/m2 bygning]</t>
  </si>
  <si>
    <t>Skole, kontor og daginstitution</t>
  </si>
  <si>
    <t>Øvrige bygninger</t>
  </si>
  <si>
    <t>Regnes specifikt</t>
  </si>
  <si>
    <t>Vælg krav til sammenligning</t>
  </si>
  <si>
    <t>Vægt/m</t>
  </si>
  <si>
    <t>aluPEX</t>
  </si>
  <si>
    <t>Behold nuv. Isolering?</t>
  </si>
  <si>
    <t>Bolig</t>
  </si>
  <si>
    <t>år</t>
  </si>
  <si>
    <t>Tung</t>
  </si>
  <si>
    <t>Træbeklædning</t>
  </si>
  <si>
    <t>Stenuld</t>
  </si>
  <si>
    <t>Vinder alu 2 lag termo</t>
  </si>
  <si>
    <t>2 lags termorude med kold kant</t>
  </si>
  <si>
    <t>Behold nuværende isolering: Ja</t>
  </si>
  <si>
    <t>Kulturbygning</t>
  </si>
  <si>
    <t>Blandet</t>
  </si>
  <si>
    <t>Naturgas</t>
  </si>
  <si>
    <t>Glasuld</t>
  </si>
  <si>
    <t>Akustikplade</t>
  </si>
  <si>
    <t>Vinduer træ 2 lag termo</t>
  </si>
  <si>
    <t>Behold nuværende isolering: Nej</t>
  </si>
  <si>
    <t>Daginstitution</t>
  </si>
  <si>
    <t>Let</t>
  </si>
  <si>
    <t>Elvarme</t>
  </si>
  <si>
    <t>Troldtekt</t>
  </si>
  <si>
    <t>Vinduer træ/alu 2 lag termo</t>
  </si>
  <si>
    <t>Undervisning</t>
  </si>
  <si>
    <t>Varmepumpe</t>
  </si>
  <si>
    <t>Ukendt</t>
  </si>
  <si>
    <t>Vinduer plastic 2 lag termo</t>
  </si>
  <si>
    <t>Biobrændsel</t>
  </si>
  <si>
    <t>Ingen</t>
  </si>
  <si>
    <t>PIR</t>
  </si>
  <si>
    <t>Vinduer alu 3 lag energi</t>
  </si>
  <si>
    <t>Kontorbygning</t>
  </si>
  <si>
    <t>Oliefyr</t>
  </si>
  <si>
    <t>Grønt tag</t>
  </si>
  <si>
    <t>Vinduer plast 3 lag energi</t>
  </si>
  <si>
    <t>Idrætsanlæg</t>
  </si>
  <si>
    <t>PUR</t>
  </si>
  <si>
    <t>Vinduer træ/alu 3 lag energi</t>
  </si>
  <si>
    <t>Vinder alu 2 lag energi</t>
  </si>
  <si>
    <t>Vinduer træ 2 lag energi</t>
  </si>
  <si>
    <t>Middelvægte</t>
  </si>
  <si>
    <t>Vinduer træ/alu 2 lag energi</t>
  </si>
  <si>
    <t>Vinduer plastic 2 lag energi</t>
  </si>
  <si>
    <t>enhed</t>
  </si>
  <si>
    <t>kWh/enhed</t>
  </si>
  <si>
    <t>CO2 kg/enhed</t>
  </si>
  <si>
    <t>Vægt i kg</t>
  </si>
  <si>
    <t>Vinduer træ 3 lag</t>
  </si>
  <si>
    <r>
      <t>kg CO</t>
    </r>
    <r>
      <rPr>
        <vertAlign val="subscript"/>
        <sz val="11"/>
        <color theme="1"/>
        <rFont val="Calibri"/>
        <family val="2"/>
        <scheme val="minor"/>
      </rPr>
      <t>2</t>
    </r>
    <r>
      <rPr>
        <sz val="11"/>
        <color theme="1"/>
        <rFont val="Calibri"/>
        <family val="2"/>
        <scheme val="minor"/>
      </rPr>
      <t>/kWh</t>
    </r>
  </si>
  <si>
    <t>*1</t>
  </si>
  <si>
    <t>Vinduer ukendt</t>
  </si>
  <si>
    <t>Middel:</t>
  </si>
  <si>
    <t>Varmeståbi s. 396</t>
  </si>
  <si>
    <t>Fig 10.7 alupex</t>
  </si>
  <si>
    <t>Armeringsmængde</t>
  </si>
  <si>
    <t>Afbildning</t>
  </si>
  <si>
    <t>Angiv forbrug</t>
  </si>
  <si>
    <t>Vælg energimærke</t>
  </si>
  <si>
    <t>Træpiller</t>
  </si>
  <si>
    <t>Betontykkelse -etagedæk</t>
  </si>
  <si>
    <t>Armerinsmængde - etagedæk</t>
  </si>
  <si>
    <r>
      <t>Total CO</t>
    </r>
    <r>
      <rPr>
        <vertAlign val="subscript"/>
        <sz val="11"/>
        <color theme="1"/>
        <rFont val="Calibri"/>
        <family val="2"/>
        <scheme val="minor"/>
      </rPr>
      <t>2</t>
    </r>
    <r>
      <rPr>
        <sz val="11"/>
        <color theme="1"/>
        <rFont val="Calibri"/>
        <family val="2"/>
        <scheme val="minor"/>
      </rPr>
      <t xml:space="preserve"> aftryk</t>
    </r>
  </si>
  <si>
    <t>Fig 10.2 Middelsvær</t>
  </si>
  <si>
    <t>Fastbrændsel</t>
  </si>
  <si>
    <t>rm</t>
  </si>
  <si>
    <t>m</t>
  </si>
  <si>
    <t>[kg/m2]</t>
  </si>
  <si>
    <r>
      <t>kg CO</t>
    </r>
    <r>
      <rPr>
        <vertAlign val="subscript"/>
        <sz val="11"/>
        <color theme="1"/>
        <rFont val="Calibri"/>
        <family val="2"/>
        <scheme val="minor"/>
      </rPr>
      <t>2</t>
    </r>
    <r>
      <rPr>
        <sz val="11"/>
        <color theme="1"/>
        <rFont val="Calibri"/>
        <family val="2"/>
        <scheme val="minor"/>
      </rPr>
      <t>/m2/år</t>
    </r>
  </si>
  <si>
    <t>Energirammeberegning</t>
  </si>
  <si>
    <t>Middel</t>
  </si>
  <si>
    <t>1 lag glas</t>
  </si>
  <si>
    <t>1* https://www.lcabyg.dk/en/download/92371</t>
  </si>
  <si>
    <t>Letbeton tykkelse -etagedæk</t>
  </si>
  <si>
    <t>Armeringsmængde - etagedæk</t>
  </si>
  <si>
    <t>1+ 1 lags forsatsude</t>
  </si>
  <si>
    <t>1+ 1 lag energi forsatsrude</t>
  </si>
  <si>
    <t>Betontykkelse -terrændæk</t>
  </si>
  <si>
    <t>Armerinsmængde - terrændæk</t>
  </si>
  <si>
    <t>Betontykkelse -ydervæg</t>
  </si>
  <si>
    <t>Armerinsmængde - ydervæg</t>
  </si>
  <si>
    <t>Tung ydervæg</t>
  </si>
  <si>
    <t>SUM</t>
  </si>
  <si>
    <t>Enhed</t>
  </si>
  <si>
    <t>Bærende element_Beton_armering</t>
  </si>
  <si>
    <t>CO2e/m3</t>
  </si>
  <si>
    <t>Isolering_mineraluld</t>
  </si>
  <si>
    <t>-</t>
  </si>
  <si>
    <t>Udvendig beklædning_tegl</t>
  </si>
  <si>
    <t>Let ydervæg</t>
  </si>
  <si>
    <t>Indvendig beklædning_Gips</t>
  </si>
  <si>
    <t>Isolering_mineraluld_træskelet</t>
  </si>
  <si>
    <t>Vindspærre</t>
  </si>
  <si>
    <t>Udvendig beklædning_træ</t>
  </si>
  <si>
    <t>Tung indervæg</t>
  </si>
  <si>
    <t>indervæg_tegl</t>
  </si>
  <si>
    <t>Let indervæg</t>
  </si>
  <si>
    <t>Indvendig beklædning_gips</t>
  </si>
  <si>
    <t>Tungt terrændæk</t>
  </si>
  <si>
    <t>isolering_EPS</t>
  </si>
  <si>
    <t>Antagelser</t>
  </si>
  <si>
    <t>På denne side er alle de antagelser der er benyttet i dette værktøj samlet</t>
  </si>
  <si>
    <t>Levetid af bygninger</t>
  </si>
  <si>
    <t>Den beregnede resterende levetid af bygninger basere sig på data fra Sbi 2013:32, hvor levetiderne er de forskellige arketyper er følgende:</t>
  </si>
  <si>
    <t>CO2-emissioner</t>
  </si>
  <si>
    <r>
      <t>kg CO</t>
    </r>
    <r>
      <rPr>
        <vertAlign val="subscript"/>
        <sz val="16"/>
        <rFont val="Calibri"/>
        <family val="2"/>
        <scheme val="minor"/>
      </rPr>
      <t>2</t>
    </r>
    <r>
      <rPr>
        <sz val="16"/>
        <rFont val="Calibri"/>
        <family val="2"/>
        <scheme val="minor"/>
      </rPr>
      <t>/kWh</t>
    </r>
  </si>
  <si>
    <t>https://hbemo.dk/haandbog-for-energikonsulenter-hb2021-gaeldende/bilag-4-energimaerkning-af-eksisterende-bygninger/vejledende-tekniske-bilag-og-tabeller/braendsel/braendvaerdier-og-co2-emissionsfaktorer</t>
  </si>
  <si>
    <t>Anvendt emissionsfaktor på varme</t>
  </si>
  <si>
    <t>Det er dog muligt at indtaste en lokal emissionsfaktor for det lokale fjernvarme.</t>
  </si>
  <si>
    <t>Varmetabsberegning</t>
  </si>
  <si>
    <t>Varmetabsberegningen er baseret på en u-værdis beregning, hvor følgende værdier er antaget:</t>
  </si>
  <si>
    <t>Indetemperatur</t>
  </si>
  <si>
    <t>°C</t>
  </si>
  <si>
    <t>Jordtemperatur</t>
  </si>
  <si>
    <t>timer</t>
  </si>
  <si>
    <t xml:space="preserve">Varmetabsberegningen for vinduer, tager udgangspunkt i følgende u-værdier for vinduet: </t>
  </si>
  <si>
    <t>Det er dog muligt at overskrive vinduets u-værdi, hvis denne er kendt.</t>
  </si>
  <si>
    <t>For varmetabsberegningen for varmerør er godstykkelsen baseret på gennemsnitlige godstykkelser, baseret på diameteren af røret.</t>
  </si>
  <si>
    <t>Herunder kan referencerne til LCA dataen findes. Der er generelt benyttet generiske data fra Ökobaudat, men der er enkelte produktspecifikke EPD'er.</t>
  </si>
  <si>
    <t>Dette er præciseret herunder:</t>
  </si>
  <si>
    <t>Opbygning</t>
  </si>
  <si>
    <t>Mængde</t>
  </si>
  <si>
    <t>Mængdeenhed</t>
  </si>
  <si>
    <t>Udløbsdato</t>
  </si>
  <si>
    <t>[link]</t>
  </si>
  <si>
    <t>Teglsten, formur</t>
  </si>
  <si>
    <r>
      <t>m</t>
    </r>
    <r>
      <rPr>
        <vertAlign val="superscript"/>
        <sz val="11"/>
        <color theme="1"/>
        <rFont val="Calibri"/>
        <family val="2"/>
        <scheme val="minor"/>
      </rPr>
      <t>3</t>
    </r>
    <r>
      <rPr>
        <sz val="11"/>
        <color theme="1"/>
        <rFont val="Calibri"/>
        <family val="2"/>
        <scheme val="minor"/>
      </rPr>
      <t>/m</t>
    </r>
    <r>
      <rPr>
        <vertAlign val="superscript"/>
        <sz val="11"/>
        <color theme="1"/>
        <rFont val="Calibri"/>
        <family val="2"/>
        <scheme val="minor"/>
      </rPr>
      <t>2</t>
    </r>
  </si>
  <si>
    <t>https://www.oekobaudat.de/OEKOBAU.DAT/datasetdetail/process.xhtml?uuid=f74a19da-df9a-4462-a632-3b3dc83377b1&amp;version=20.19.120</t>
  </si>
  <si>
    <t>Mørtel, fliseklæber</t>
  </si>
  <si>
    <r>
      <t>kg/m</t>
    </r>
    <r>
      <rPr>
        <vertAlign val="superscript"/>
        <sz val="11"/>
        <color theme="1"/>
        <rFont val="Calibri"/>
        <family val="2"/>
        <scheme val="minor"/>
      </rPr>
      <t>2</t>
    </r>
  </si>
  <si>
    <t>https://www.oekobaudat.de/OEKOBAU.DAT/datasetdetail/process.xhtml?uuid=78b7cd15-d82a-4ffa-ae08-870b6e5d35d4&amp;version=20.19.120</t>
  </si>
  <si>
    <t>Teglsten, genbrugte</t>
  </si>
  <si>
    <t>http://gamlemursten.dk/nyheder/2017/epd-miljoevaredeklaration-paa-gamle-mursten/ og https://www.oekobaudat.de/OEKOBAU.DAT/datasetdetail/process.xhtml?uuid=4a937f66-c9c2-402b-9a00-83767031bfa7&amp;version=20.19.120</t>
  </si>
  <si>
    <t>Armeringsnet</t>
  </si>
  <si>
    <t>kg/m²</t>
  </si>
  <si>
    <t>https://www.oekobaudat.de/OEKOBAU.DAT/datasetdetail/process.xhtml?uuid=e9ae96ee-ba8d-420d-9725-7c8abd06e082&amp;version=20.19.120 og https://www.oekobaudat.de/OEKOBAU.DAT/datasetdetail/process.xhtml?uuid=d9f045e5-ae07-4ae6-9fde-5346560411d8&amp;version=20.19.120</t>
  </si>
  <si>
    <t>Beton C30/37, fabriksbeton og betonelementer</t>
  </si>
  <si>
    <t>m³/m²</t>
  </si>
  <si>
    <t>https://www.oekobaudat.de/OEKOBAU.DAT/datasetdetail/process.xhtml?uuid=b6096c9c-1248-4ce1-9c2d-f4a48aade80f&amp;version=00.02.000</t>
  </si>
  <si>
    <t>Konstruktionstræ, KVH-kvalitet (15% fugt / 13% H2O)</t>
  </si>
  <si>
    <t>m²/m²</t>
  </si>
  <si>
    <t>https://www.oekobaudat.de/OEKOBAU.DAT/datasetdetail/process.xhtml?uuid=703eec32-59af-47e1-9c91-4a32afe3187f&amp;version=20.19.120</t>
  </si>
  <si>
    <t>Fastgørelsesmidler/skruer i galvaniseret stål</t>
  </si>
  <si>
    <t>https://www.oekobaudat.de/OEKOBAU.DAT/datasetdetail/process.xhtml?uuid=b9c775be-d100-4d35-bdf3-c5964e655692&amp;version=20.19.120 og https://www.oekobaudat.de/OEKOBAU.DAT/datasetdetail/process.xhtml?uuid=f34a799a-52de-4f69-a623-335f5be207d9&amp;version=20.19.120</t>
  </si>
  <si>
    <t>Fibercementplade</t>
  </si>
  <si>
    <t>https://www.oekobaudat.de/OEKOBAU.DAT/datasetdetail/process.xhtml?uuid=e24f9f47-8580-45c2-b16d-45145d65a813&amp;version=20.19.120</t>
  </si>
  <si>
    <t>Gipskartonplade 13 mm, imprægneret</t>
  </si>
  <si>
    <r>
      <t>m</t>
    </r>
    <r>
      <rPr>
        <vertAlign val="superscript"/>
        <sz val="11"/>
        <color theme="1"/>
        <rFont val="Calibri"/>
        <family val="2"/>
        <scheme val="minor"/>
      </rPr>
      <t>2</t>
    </r>
    <r>
      <rPr>
        <sz val="11"/>
        <color theme="1"/>
        <rFont val="Calibri"/>
        <family val="2"/>
        <scheme val="minor"/>
      </rPr>
      <t>/m</t>
    </r>
    <r>
      <rPr>
        <vertAlign val="superscript"/>
        <sz val="11"/>
        <color theme="1"/>
        <rFont val="Calibri"/>
        <family val="2"/>
        <scheme val="minor"/>
      </rPr>
      <t>2</t>
    </r>
  </si>
  <si>
    <t>https://www.oekobaudat.de/OEKOBAU.DAT/datasetdetail/process.xhtml?uuid=07423e99-8c7c-4e93-8311-dcf7ae85c41d&amp;version=20.20.010</t>
  </si>
  <si>
    <t>Zink, patineret</t>
  </si>
  <si>
    <t xml:space="preserve">https://www.oekobaudat.de/OEKOBAU.DAT/datasetdetail/process.xhtml?uuid=0ea8dd25-57aa-4b87-87e3-4496368f765b&amp;version=00.04.000 og https://www.oekobaudat.de/OEKOBAU.DAT/datasetdetail/process.xhtml?uuid=f34a799a-52de-4f69-a623-335f5be207d9&amp;version=20.19.120 </t>
  </si>
  <si>
    <t>Aluminiumsprofil</t>
  </si>
  <si>
    <t>https://www.oekobaudat.de/OEKOBAU.DAT/datasetdetail/process.xhtml?uuid=bd6d6d89-b76d-4002-a217-afffbb8aa308&amp;version=20.19.120 og https://www.oekobaudat.de/OEKOBAU.DAT/datasetdetail/process.xhtml?uuid=93eb05bd-e607-46de-8d7b-e0727f8d2400&amp;version=20.19.120</t>
  </si>
  <si>
    <t>Aluminiumsplade</t>
  </si>
  <si>
    <t>https://www.oekobaudat.de/OEKOBAU.DAT/datasetdetail/process.xhtml?uuid=a4c1c27c-53a0-4027-83f6-88c52c758bb1&amp;version=20.19.120 og https://www.oekobaudat.de/OEKOBAU.DAT/datasetdetail/process.xhtml?uuid=93eb05bd-e607-46de-8d7b-e0727f8d2400&amp;version=20.19.120</t>
  </si>
  <si>
    <t>Overflade, anodisering af aluminuimsplade</t>
  </si>
  <si>
    <t>https://www.oekobaudat.de/OEKOBAU.DAT/datasetdetail/process.xhtml?uuid=ecf20fae-fe11-41ad-b248-8b4118fd7cc7&amp;version=20.19.120</t>
  </si>
  <si>
    <t>Træ, fyrretræ 12% fugt /10,7% H2O</t>
  </si>
  <si>
    <r>
      <t>m</t>
    </r>
    <r>
      <rPr>
        <vertAlign val="superscript"/>
        <sz val="11"/>
        <color theme="1"/>
        <rFont val="Calibri"/>
        <family val="2"/>
        <scheme val="minor"/>
      </rPr>
      <t>3/</t>
    </r>
    <r>
      <rPr>
        <sz val="11"/>
        <color theme="1"/>
        <rFont val="Calibri"/>
        <family val="2"/>
        <scheme val="minor"/>
      </rPr>
      <t>m</t>
    </r>
    <r>
      <rPr>
        <vertAlign val="superscript"/>
        <sz val="11"/>
        <color theme="1"/>
        <rFont val="Calibri"/>
        <family val="2"/>
        <scheme val="minor"/>
      </rPr>
      <t>2</t>
    </r>
  </si>
  <si>
    <t>https://www.oekobaudat.de/OEKOBAU.DAT/datasetdetail/process.xhtml?uuid=aea021e8-7e2f-4f6b-ae3f-a76cba4c5d6e&amp;version=20.19.120</t>
  </si>
  <si>
    <t>Overflade, træfacade, semi-pigmeteret lasursystem</t>
  </si>
  <si>
    <t>https://www.oekobaudat.de/OEKOBAU.DAT/datasetdetail/process.xhtml?uuid=1a4a4522-7297-4ae5-a430-689e89ec2159&amp;version=20.19.120</t>
  </si>
  <si>
    <t>Konstruktionstræ, KVH-kvalitet (15% fugt/13% H2O)</t>
  </si>
  <si>
    <t>Skærmtegl aluprofil</t>
  </si>
  <si>
    <t>Tagsten, tegl</t>
  </si>
  <si>
    <t>https://www.oekobaudat.de/OEKOBAU.DAT/datasetdetail/process.xhtml?uuid=826fa2c2-c691-4844-83d3-aea0e8a54bcd&amp;version=20.19.120</t>
  </si>
  <si>
    <t>Skærmtegl trælægter</t>
  </si>
  <si>
    <t>Skifer aluprofil</t>
  </si>
  <si>
    <t>https://www.oekobaudat.de/OEKOBAU.DAT/datasetdetail/process.xhtml?uuid=9049a94f-a527-4d87-a4b9-5a3a56f5ea19&amp;version=20.20.010</t>
  </si>
  <si>
    <t>Skifer trælægter</t>
  </si>
  <si>
    <t>EPDM-tætning aluminiumsprofil</t>
  </si>
  <si>
    <t>https://www.oekobaudat.de/OEKOBAU.DAT/datasetdetail/process.xhtml?uuid=66094ad5-51d6-45c4-b2e3-451220520cab&amp;version=20.19.120</t>
  </si>
  <si>
    <t>WPC Facadepanel</t>
  </si>
  <si>
    <t>https://www.oekobaudat.de/OEKOBAU.DAT/datasetdetail/process.xhtml?uuid=dd603f7a-93de-4a24-a26f-76a366966d4a&amp;version=00.03.000</t>
  </si>
  <si>
    <t xml:space="preserve">Mineraluld, alm. </t>
  </si>
  <si>
    <t>https://www.oekobaudat.de/OEKOBAU.DAT/datasetdetail/process.xhtml?uuid=fafd5743-0b42-4614-8e3d-5c4eacdfba98&amp;version=20.20.020</t>
  </si>
  <si>
    <t>Træfiberisolering</t>
  </si>
  <si>
    <t>https://www.oekobaudat.de/OEKOBAU.DAT/datasetdetail/process.xhtml?uuid=d601d54e-a2eb-42bb-b32b-c59d1b2332a9&amp;version=00.04.000</t>
  </si>
  <si>
    <t>Papiruldsisolering, løsfyld</t>
  </si>
  <si>
    <t>https://www.oekobaudat.de/OEKOBAU.DAT/datasetdetail/process.xhtml?uuid=c355d75b-9026-4899-a41c-e5d221c424f2&amp;version=20.19.120</t>
  </si>
  <si>
    <t>PIR-skum, høj densitet (250kg/m3)</t>
  </si>
  <si>
    <t>https://www.oekobaudat.de/OEKOBAU.DAT/datasetdetail/process.xhtml?uuid=2c076ee7-3853-4f69-9bf5-8ec265fa43e0&amp;version=20.19.120</t>
  </si>
  <si>
    <t>Celleglas-isolering 115 kg/m3</t>
  </si>
  <si>
    <t>https://www.oekobaudat.de/OEKOBAU.DAT/datasetdetail/process.xhtml?uuid=55943b94-ad62-4372-9dfc-bc50e19e52c0&amp;version=00.05.000</t>
  </si>
  <si>
    <t>EPS isolering til lofter/gulve og kælderydervæg/terrændæk 035</t>
  </si>
  <si>
    <t>https://www.oekobaudat.de/OEKOBAU.DAT/datasetdetail/process.xhtml?uuid=ee10b277-07b5-4c0a-8a48-e0412a9630ff&amp;version=00.07.000</t>
  </si>
  <si>
    <t>Bærende element</t>
  </si>
  <si>
    <t>Stål, valsede profiler og plader</t>
  </si>
  <si>
    <t>https://www.oekobaudat.de/OEKOBAU.DAT/datasetdetail/process.xhtml?uuid=5cb2c568-76fe-4803-8b46-0084e79800c8&amp;version=00.06.000</t>
  </si>
  <si>
    <t>Dampspærre PE (tykkelse 0,0002 m)</t>
  </si>
  <si>
    <t>https://www.oekobaudat.de/OEKOBAU.DAT/datasetdetail/process.xhtml?uuid=99792cbc-c5f4-4d2d-bc9e-3790509891a0&amp;version=20.20.010</t>
  </si>
  <si>
    <t>Krydslamieret træ, CLT</t>
  </si>
  <si>
    <t>https://www.oekobaudat.de/OEKOBAU.DAT/datasetdetail/process.xhtml?uuid=954a286e-36e6-4ceb-9ab9-ec4270b618aa&amp;version=00.02.000 og https://www.oekobaudat.de/OEKOBAU.DAT/datasetdetail/process.xhtml?uuid=44e4bf51-8e23-47e3-8f5e-5243525bb32e&amp;version=20.19.120</t>
  </si>
  <si>
    <t>Porebeton 380 kg/m3</t>
  </si>
  <si>
    <t>https://www.oekobaudat.de/OEKOBAU.DAT/datasetdetail/process.xhtml?uuid=906b4864-0511-480f-a8bc-7b8302efbf0b&amp;version=20.19.120</t>
  </si>
  <si>
    <t>Overflade, Facademaling, akryl maling</t>
  </si>
  <si>
    <t>https://www.oekobaudat.de/OEKOBAU.DAT/datasetdetail/process.xhtml?uuid=fcf6494c-aad2-4180-b1a2-392cc954ae52&amp;version=20.19.120</t>
  </si>
  <si>
    <t>Overfalde, Facademaling, grunder, dispersion</t>
  </si>
  <si>
    <t>https://www.oekobaudat.de/OEKOBAU.DAT/datasetdetail/process.xhtml?uuid=948f8f68-f1f2-42f6-8350-6e27d6e80c7c&amp;version=20.19.120</t>
  </si>
  <si>
    <t xml:space="preserve">Gips, vægplade </t>
  </si>
  <si>
    <t>https://www.oekobaudat.de/OEKOBAU.DAT/datasetdetail/process.xhtml?uuid=38a8d707-0c7f-4d91-a3db-9b5b2c9bb147&amp;version=20.20.010</t>
  </si>
  <si>
    <r>
      <t>kg/m</t>
    </r>
    <r>
      <rPr>
        <vertAlign val="superscript"/>
        <sz val="11"/>
        <rFont val="Calibri"/>
        <family val="2"/>
        <scheme val="minor"/>
      </rPr>
      <t>2</t>
    </r>
  </si>
  <si>
    <t>https://www.oekobaudat.de/OEKOBAU.DAT/datasetdetail/process.xhtml?uuid=bd6d6d89-b76d-4002-a217-afffbb8aa308&amp;version=20.19.120</t>
  </si>
  <si>
    <t>Tætningsliste, EPDB, ekstruderet</t>
  </si>
  <si>
    <t>https://www.oekobaudat.de/OEKOBAU.DAT/datasetdetail/process.xhtml?uuid=31a96d5c-66a3-4de1-a957-6aa4f8f4e53d&amp;version=20.19.120</t>
  </si>
  <si>
    <t>Glas 3 mm</t>
  </si>
  <si>
    <r>
      <t>m</t>
    </r>
    <r>
      <rPr>
        <vertAlign val="superscript"/>
        <sz val="11"/>
        <rFont val="Calibri"/>
        <family val="2"/>
        <scheme val="minor"/>
      </rPr>
      <t>2</t>
    </r>
    <r>
      <rPr>
        <sz val="11"/>
        <rFont val="Calibri"/>
        <family val="2"/>
        <scheme val="minor"/>
      </rPr>
      <t>/m</t>
    </r>
    <r>
      <rPr>
        <vertAlign val="superscript"/>
        <sz val="11"/>
        <rFont val="Calibri"/>
        <family val="2"/>
        <scheme val="minor"/>
      </rPr>
      <t>2</t>
    </r>
  </si>
  <si>
    <t>https://www.oekobaudat.de/OEKOBAU.DAT/datasetdetail/process.xhtml?uuid=1490b480-2c36-43f2-ba8b-4ea49948f7c3&amp;version=20.19.120</t>
  </si>
  <si>
    <t>https://www.oekobaudat.de/OEKOBAU.DAT/datasetdetail/process.xhtml?uuid=6d535792-4351-4d7d-97c6-6d2c3624f3e0&amp;version=20.20.010</t>
  </si>
  <si>
    <t>Overflade, Facademaling, grunder, dispersion</t>
  </si>
  <si>
    <t>Krydsfinerplade</t>
  </si>
  <si>
    <t>https://www.oekobaudat.de/OEKOBAU.DAT/datasetdetail/process.xhtml?uuid=cc180aec-8a5c-4e07-b1a0-1ab81dd746ac&amp;version=20.19.120</t>
  </si>
  <si>
    <t>Undertag, PP-membran</t>
  </si>
  <si>
    <t>https://www.oekobaudat.de/OEKOBAU.DAT/datasetdetail/process.xhtml?uuid=deb7fe73-3eb8-4f80-937b-7ce3a0a977ed&amp;version=20.20.010</t>
  </si>
  <si>
    <t>Træ, egetræ (12% fugt/10,7% H2O)</t>
  </si>
  <si>
    <t>https://www.oekobaudat.de/OEKOBAU.DAT/datasetdetail/process.xhtml?uuid=7ec1d463-fd99-4b1d-9a57-9a72cac408d2&amp;version=20.19.120</t>
  </si>
  <si>
    <t>Overflade, Facamaling, akryl maling</t>
  </si>
  <si>
    <t>Gipskartonplade 13 mm, hulplade</t>
  </si>
  <si>
    <t>https://www.oekobaudat.de/OEKOBAU.DAT/datasetdetail/process.xhtml?uuid=207cde6a-73be-4ffb-972d-30d3d8619fc3&amp;version=20.19.120</t>
  </si>
  <si>
    <t>Puds, kalk-gips, inde</t>
  </si>
  <si>
    <t>https://www.oekobaudat.de/OEKOBAU.DAT/datasetdetail/process.xhtml?uuid=70f6e305-e46f-4719-a94f-70267b936029&amp;version=20.19.120</t>
  </si>
  <si>
    <t>Tagpap, bitumen undermembran</t>
  </si>
  <si>
    <t>https://www.oekobaudat.de/OEKOBAU.DAT/datasetdetail/process.xhtml?uuid=64da45fc-f415-4875-8a4e-7c23fe7a7aa9&amp;version=20.20.010</t>
  </si>
  <si>
    <t>Tagpap, bitumen toplag, skiferbestrøet</t>
  </si>
  <si>
    <t>https://www.oekobaudat.de/OEKOBAU.DAT/datasetdetail/process.xhtml?uuid=d56bd904-09a0-4d30-bdbe-5d4f892cc12b&amp;version=20.20.010</t>
  </si>
  <si>
    <r>
      <t>m</t>
    </r>
    <r>
      <rPr>
        <vertAlign val="superscript"/>
        <sz val="11"/>
        <rFont val="Calibri"/>
        <family val="2"/>
        <scheme val="minor"/>
      </rPr>
      <t>3</t>
    </r>
    <r>
      <rPr>
        <sz val="11"/>
        <rFont val="Calibri"/>
        <family val="2"/>
        <scheme val="minor"/>
      </rPr>
      <t>/m</t>
    </r>
    <r>
      <rPr>
        <vertAlign val="superscript"/>
        <sz val="11"/>
        <rFont val="Calibri"/>
        <family val="2"/>
        <scheme val="minor"/>
      </rPr>
      <t>2</t>
    </r>
  </si>
  <si>
    <t>Stål, varmegalvaniseret stålplade</t>
  </si>
  <si>
    <t>https://www.oekobaudat.de/OEKOBAU.DAT/datasetdetail/process.xhtml?uuid=50c9e674-afd9-456c-9440-6506bec6d55b&amp;version=20.19.120</t>
  </si>
  <si>
    <t xml:space="preserve">Overflade, Pulverlakering </t>
  </si>
  <si>
    <t>https://www.oekobaudat.de/OEKOBAU.DAT/datasetdetail/process.xhtml?uuid=eaec8e5d-f70a-4993-b3a6-814607f5e7b3&amp;version=20.19.120</t>
  </si>
  <si>
    <t>https://epd-online.com/PublishedEpd/Download/9106</t>
  </si>
  <si>
    <t>Beton C45/55, fabriksbeton og betonelementer</t>
  </si>
  <si>
    <t>https://www.oekobaudat.de/OEKOBAU.DAT/datasetdetail/process.xhtml?uuid=a3662e98-9dc9-412f-9603-47f653f3db7f&amp;version=00.03.000</t>
  </si>
  <si>
    <t>Træbetonplade</t>
  </si>
  <si>
    <t>https://www.oekobaudat.de/OEKOBAU.DAT/datasetdetail/process.xhtml?uuid=76d3f78a-8743-49fe-b4a1-f43b819cb930&amp;version=20.19.120</t>
  </si>
  <si>
    <t>Træ, fyrretræ (12% fugt/10,7% H2O)</t>
  </si>
  <si>
    <t>Mineralild, trykfast til tagsystem</t>
  </si>
  <si>
    <t>https://www.oekobaudat.de/OEKOBAU.DAT/datasetdetail/process.xhtml?uuid=4477c6ca-b728-41fb-a231-366e159a73df&amp;version=20.20.020</t>
  </si>
  <si>
    <t>Afretningslag, cementbaseret</t>
  </si>
  <si>
    <t>https://www.oekobaudat.de/OEKOBAU.DAT/datasetdetail/process.xhtml?uuid=0973f221-2284-4892-ae3d-1b8c2986b6dd&amp;version=20.19.120</t>
  </si>
  <si>
    <t>Mineraluld, alm.</t>
  </si>
  <si>
    <t>Undetag, PP-membran</t>
  </si>
  <si>
    <t>Beton C25/30, fabriksbeton og betonelementer</t>
  </si>
  <si>
    <t>https://www.oekobaudat.de/OEKOBAU.DAT/datasetdetail/process.xhtml?uuid=71667cf3-ede8-42d2-b0ff-6f1071ad3b86&amp;version=00.03.000</t>
  </si>
  <si>
    <t>Spånplade</t>
  </si>
  <si>
    <t>https://www.oekobaudat.de/OEKOBAU.DAT/datasetdetail/process.xhtml?uuid=60e8b384-adf2-4c3b-b3da-e407df106cf5&amp;version=20.19.120</t>
  </si>
  <si>
    <t>Kabilarbrydende lag</t>
  </si>
  <si>
    <t>https://www.oekobaudat.de/OEKOBAU.DAT/datasetdetail/process.xhtml?uuid=f70e7397-ab7b-47c8-a172-6992a615ee2e&amp;version=20.20.020 og https://www.oekobaudat.de/OEKOBAU.DAT/datasetdetail/process.xhtml?uuid=4a937f66-c9c2-402b-9a00-83767031bfa7&amp;version=20.19.120</t>
  </si>
  <si>
    <t>Sand 0-2 mm</t>
  </si>
  <si>
    <t>https://www.oekobaudat.de/OEKOBAU.DAT/datasetdetail/process.xhtml?uuid=61655387-edd4-4800-ba3e-67bc15f2f096&amp;version=20.19.120</t>
  </si>
  <si>
    <t>Grus 2-32 mm</t>
  </si>
  <si>
    <t>https://www.oekobaudat.de/OEKOBAU.DAT/datasetdetail/process.xhtml?uuid=3ce61a4e-4d91-4b1d-b675-276be05b9225&amp;version=20.19.120</t>
  </si>
  <si>
    <t>Letklinkerbeton, hulblokke 1601 kg/m3</t>
  </si>
  <si>
    <t>https://www.oekobaudat.de/OEKOBAU.DAT/datasetdetail/process.xhtml?uuid=c7e171fb-d5eb-4867-9fb2-961dec81d6aa&amp;version=20.20.020</t>
  </si>
  <si>
    <t>Beton C45/55</t>
  </si>
  <si>
    <t>Linoleum gulvbelægning</t>
  </si>
  <si>
    <t>https://www.oekobaudat.de/OEKOBAU.DAT/datasetdetail/process.xhtml?uuid=56e977b3-d042-4843-b40d-3a33dbb5a555&amp;version=20.20.010</t>
  </si>
  <si>
    <t>EPS isolering til lofter/gulve og kælderydervæg/terrændæk 040</t>
  </si>
  <si>
    <t>https://www.oekobaudat.de/OEKOBAU.DAT/datasetdetail/process.xhtml?uuid=d63926ea-8473-4ea7-b965-a7bae6e5e022&amp;version=00.07.000</t>
  </si>
  <si>
    <t>Overflade, indendørs, emulsions maling, slidstærk</t>
  </si>
  <si>
    <t>https://www.oekobaudat.de/OEKOBAU.DAT/datasetdetail/process.xhtml?uuid=35be6146-5a80-4a9e-a32d-5d05c03a8d5c&amp;version=20.19.120</t>
  </si>
  <si>
    <t>Keramikfliser, glaseret</t>
  </si>
  <si>
    <t>https://www.oekobaudat.de/OEKOBAU.DAT/datasetdetail/process.xhtml?uuid=b4a0e610-e038-47d3-b86e-cef013cd7c83&amp;version=20.20.010</t>
  </si>
  <si>
    <t>Trægulv, stavparket, 22 mm</t>
  </si>
  <si>
    <t>https://www.oekobaudat.de/OEKOBAU.DAT/datasetdetail/process.xhtml?uuid=88619ce6-c0aa-43bd-9ac6-477b5d6ce442&amp;version=20.20.010</t>
  </si>
  <si>
    <t>Mineraluld, alm</t>
  </si>
  <si>
    <t>Plastplade, transparent, PVC</t>
  </si>
  <si>
    <t>https://www.oekobaudat.de/OEKOBAU.DAT/datasetdetail/process.xhtml?uuid=5a88b96e-23d0-4656-9ee2-fc271c89c95b&amp;version=20.19.120</t>
  </si>
  <si>
    <t>Gummigulve profileret EN 12199</t>
  </si>
  <si>
    <t>https://www.oekobaudat.de/OEKOBAU.DAT/datasetdetail/process.xhtml?uuid=f814e7e2-e438-4ea9-80cc-81254d01aba2&amp;version=20.20.010</t>
  </si>
  <si>
    <t>1+1 lag glas</t>
  </si>
  <si>
    <t>2 lag glas 3 mm</t>
  </si>
  <si>
    <t xml:space="preserve">2 lag glas </t>
  </si>
  <si>
    <t>https://oekobaudat.de/OEKOBAU.DAT/datasetdetail/process.xhtml?uuid=d941f45e-1244-419c-a083-e4a49fb5498e&amp;version=20.19.120&amp;stock=OBD_2021_II&amp;lang=en</t>
  </si>
  <si>
    <t>2 lag glas</t>
  </si>
  <si>
    <t>3 lag glas</t>
  </si>
  <si>
    <t>https://www.oekobaudat.de/OEKOBAU.DAT/datasetdetail/process.xhtml?uuid=fa9f6670-3170-4597-92ab-a2fdec7f1451&amp;version=20.20.010</t>
  </si>
  <si>
    <t>1+1 lag energiglas</t>
  </si>
  <si>
    <t>Vinduesramme, aluminum</t>
  </si>
  <si>
    <r>
      <t>m/m</t>
    </r>
    <r>
      <rPr>
        <vertAlign val="superscript"/>
        <sz val="11"/>
        <color theme="1"/>
        <rFont val="Calibri"/>
        <family val="2"/>
        <scheme val="minor"/>
      </rPr>
      <t>2</t>
    </r>
  </si>
  <si>
    <t>https://www.oekobaudat.de/OEKOBAU.DAT/datasetdetail/process.xhtml?uuid=c1cacd2c-d98d-4795-84db-b567d25bb1ed&amp;version=20.19.120</t>
  </si>
  <si>
    <t>Vindueskarm, træ</t>
  </si>
  <si>
    <t>https://www.oekobaudat.de/OEKOBAU.DAT/datasetdetail/process.xhtml?uuid=4127e60a-3c42-4076-83f5-5232b4ed642e&amp;version=20.19.120</t>
  </si>
  <si>
    <t>Vindueskarm, aluminium</t>
  </si>
  <si>
    <t>https://www.oekobaudat.de/OEKOBAU.DAT/datasetdetail/process.xhtml?uuid=dfa64bbb-dc8d-497b-9557-300416b8448f&amp;version=20.19.120</t>
  </si>
  <si>
    <t>Vinduesramme, træ</t>
  </si>
  <si>
    <t>https://www.oekobaudat.de/OEKOBAU.DAT/datasetdetail/process.xhtml?uuid=318f08e0-1b04-49eb-ab16-531482cd75da&amp;version=20.19.120</t>
  </si>
  <si>
    <t>EPDM-tætning til aluminiumsprofil</t>
  </si>
  <si>
    <t>Vindueskarm, ramme</t>
  </si>
  <si>
    <t>Plastic</t>
  </si>
  <si>
    <t>Vindueskarm, plast (PVC)</t>
  </si>
  <si>
    <t>https://www.oekobaudat.de/OEKOBAU.DAT/datasetdetail/process.xhtml?uuid=5e90e94d-6e79-4d9f-854c-fb33f15c033e&amp;version=20.19.120</t>
  </si>
  <si>
    <t>Vinduesramme, plast (PVC)</t>
  </si>
  <si>
    <t>https://www.oekobaudat.de/OEKOBAU.DAT/datasetdetail/process.xhtml?uuid=91ea177a-e65a-4fe2-ac2d-2f378a03e168&amp;version=20.19.120</t>
  </si>
  <si>
    <r>
      <t>kg/m</t>
    </r>
    <r>
      <rPr>
        <vertAlign val="superscript"/>
        <sz val="11"/>
        <color theme="1"/>
        <rFont val="Calibri"/>
        <family val="2"/>
        <scheme val="minor"/>
      </rPr>
      <t>3</t>
    </r>
  </si>
  <si>
    <t>https://www.oekobaudat.de/OEKOBAU.DAT/datasetdetail/process.xhtml?uuid=954a286e-36e6-4ceb-9ab9-ec4270b618aa&amp;version=00.02.000</t>
  </si>
  <si>
    <t>Brugsvandsrør, Alu-PEX</t>
  </si>
  <si>
    <t>https://www.oekobaudat.de/OEKOBAU.DAT/datasetdetail/process.xhtml?uuid=4c33a250-3979-4e5f-9a7c-0d351085da22&amp;version=20.19.120</t>
  </si>
  <si>
    <t>Rør, Brugsvandsrør, PEX</t>
  </si>
  <si>
    <t>https://www.oekobaudat.de/OEKOBAU.DAT/datasetdetail/process.xhtml?uuid=9d623359-570b-40ca-8875-60dea3687846&amp;version=20.19.120</t>
  </si>
  <si>
    <t>Brugsvandsrør, rustfri stål</t>
  </si>
  <si>
    <t>https://www.oekobaudat.de/OEKOBAU.DAT/datasetdetail/process.xhtml?uuid=4d37d8f4-13db-418d-820d-5cf08f050eff&amp;version=20.19.120 og https://www.oekobaudat.de/OEKOBAU.DAT/datasetdetail/process.xhtml?uuid=55945019-018a-46da-baae-a3ee62d59cf3&amp;version=20.19.120</t>
  </si>
  <si>
    <t>VVS-rør, blanke kobberrør</t>
  </si>
  <si>
    <t>https://www.oekobaudat.de/OEKOBAU.DAT/datasetdetail/process.xhtml?uuid=6943ea24-03bc-4a84-9bf9-c320b052be82&amp;version=00.03.000</t>
  </si>
  <si>
    <t>Mineraluld, stenuld, rørskål</t>
  </si>
  <si>
    <t>https://www.oekobaudat.de/OEKOBAU.DAT/datasetdetail/process.xhtml?uuid=5c1776a7-de57-4b4d-87fc-933f52fddd6e&amp;version=20.19.120</t>
  </si>
  <si>
    <t>Polyurethenskum (rørisolering)</t>
  </si>
  <si>
    <t>https://www.oekobaudat.de/OEKOBAU.DAT/datasetdetail/process.xhtml?uuid=75ce5bab-4506-4f7e-8c20-a638a98b7537&amp;version=20.19.120</t>
  </si>
  <si>
    <t>EPDM skum (rørisolering)</t>
  </si>
  <si>
    <t>https://www.oekobaudat.de/OEKOBAU.DAT/datasetdetail/process.xhtml?uuid=e1875cbe-23ad-4800-b40d-ca36b9baab6a&amp;version=20.19.120</t>
  </si>
  <si>
    <r>
      <t>[kg/m</t>
    </r>
    <r>
      <rPr>
        <vertAlign val="superscript"/>
        <sz val="11"/>
        <color theme="1"/>
        <rFont val="Calibri"/>
        <family val="2"/>
        <scheme val="minor"/>
      </rPr>
      <t>2</t>
    </r>
    <r>
      <rPr>
        <sz val="11"/>
        <color theme="1"/>
        <rFont val="Calibri"/>
        <family val="2"/>
        <scheme val="minor"/>
      </rPr>
      <t>]</t>
    </r>
  </si>
  <si>
    <t>Forbrug fra energimærkningsdata</t>
  </si>
  <si>
    <t>Fordeling mellem el- og varmeforbrug differentieret på bygningstypologi</t>
  </si>
  <si>
    <t>Energimærke</t>
  </si>
  <si>
    <t>Grænseværdi kWh/m2</t>
  </si>
  <si>
    <t>grænseværdi kWh</t>
  </si>
  <si>
    <t>Antaget middelværdier kWh</t>
  </si>
  <si>
    <t>varme</t>
  </si>
  <si>
    <t>El</t>
  </si>
  <si>
    <t>El - fig 17.39</t>
  </si>
  <si>
    <t>Varme - fig 17.27</t>
  </si>
  <si>
    <t>nøgletal</t>
  </si>
  <si>
    <t>Lavenergiklasse</t>
  </si>
  <si>
    <t>typologi (fra tabel)</t>
  </si>
  <si>
    <t>kwh/m2</t>
  </si>
  <si>
    <t>Bygningsklasse 2018</t>
  </si>
  <si>
    <t>&lt; 41 + 1000 / Areal</t>
  </si>
  <si>
    <t>*antaget 4000kWh/år for 140m2</t>
  </si>
  <si>
    <t>anden helårsbeboelse</t>
  </si>
  <si>
    <t>Bygningsklasse 2018 benyttet</t>
  </si>
  <si>
    <t>museer, bibliotekker mv.</t>
  </si>
  <si>
    <t>biograf, bibliotek, museum</t>
  </si>
  <si>
    <t>Børnehave/vuggestue</t>
  </si>
  <si>
    <t>daginstitution</t>
  </si>
  <si>
    <t xml:space="preserve">Skoler uden elvarme </t>
  </si>
  <si>
    <t>skoler</t>
  </si>
  <si>
    <t>hospitaler</t>
  </si>
  <si>
    <t>hospitaler, sygehjem</t>
  </si>
  <si>
    <t>kommunal administration</t>
  </si>
  <si>
    <t>kontor og handel</t>
  </si>
  <si>
    <t xml:space="preserve">Idrætsanlæg </t>
  </si>
  <si>
    <t>idrætshal, svømmehal</t>
  </si>
  <si>
    <t>*Varme ståbi 7. udgave, 1. oplag 2015</t>
  </si>
  <si>
    <t>kilde: https://bygningsreglementet.dk/Ovrige-bestemmelser/25/Krav
kilde: https://bygningsreglementet.dk/Tekniske-bestemmelser/11/Krav/260</t>
  </si>
  <si>
    <t>Figur 17.27  nøgletal for fjernvarmeforsynede bygninger for et normalår baseret på "VKO information nr 38, VKO-sekretarieatet, Teknologisk institut (1995)"</t>
  </si>
  <si>
    <t>Figur 17.39 Elforbrug opdelt efter DSE-kode fra DEFU</t>
  </si>
  <si>
    <t>Dato
[dd-mm-åååå]</t>
  </si>
  <si>
    <t>Antal etager</t>
  </si>
  <si>
    <t>Tagform</t>
  </si>
  <si>
    <t>30 grader</t>
  </si>
  <si>
    <t>Antal Etager</t>
  </si>
  <si>
    <t>Mellem</t>
  </si>
  <si>
    <t>Bygnings geometri:</t>
  </si>
  <si>
    <t>Lag</t>
  </si>
  <si>
    <t>10 grader</t>
  </si>
  <si>
    <t>20 grader</t>
  </si>
  <si>
    <t>Fladt tag</t>
  </si>
  <si>
    <t>60 grader</t>
  </si>
  <si>
    <t>Hældning</t>
  </si>
  <si>
    <t>45 grader</t>
  </si>
  <si>
    <t>pr. m2</t>
  </si>
  <si>
    <t>pr. m3</t>
  </si>
  <si>
    <t>Fåreuldisolering</t>
  </si>
  <si>
    <t>Pris</t>
  </si>
  <si>
    <t>Pris Indvendig beklædning</t>
  </si>
  <si>
    <t>Pris Konstruktion</t>
  </si>
  <si>
    <t>Pris Isolering</t>
  </si>
  <si>
    <t>Samlet pris</t>
  </si>
  <si>
    <t>Visualisering af pris data</t>
  </si>
  <si>
    <t>Pris materialer</t>
  </si>
  <si>
    <t>Total pris scenarie 1</t>
  </si>
  <si>
    <t>Total pris scenarie 2</t>
  </si>
  <si>
    <t>Pris vinduetype</t>
  </si>
  <si>
    <t>Vinduestype</t>
  </si>
  <si>
    <t>Pris udvendig beklædning</t>
  </si>
  <si>
    <t>Database</t>
  </si>
  <si>
    <t>Mangler</t>
  </si>
  <si>
    <t>Ikke relevant</t>
  </si>
  <si>
    <t>Pris tag beklædning</t>
  </si>
  <si>
    <t>Pris udvendig konstruktion</t>
  </si>
  <si>
    <t>Pris indvendig konstruktion</t>
  </si>
  <si>
    <t>Pris tag konstruktion</t>
  </si>
  <si>
    <t>Pris loft beklædning</t>
  </si>
  <si>
    <t>Pris gulv belægning</t>
  </si>
  <si>
    <t>Samlet</t>
  </si>
  <si>
    <t>Etage højde</t>
  </si>
  <si>
    <t>Rumdybde</t>
  </si>
  <si>
    <t>isooleringsklasse</t>
  </si>
  <si>
    <t>Isolerings materiale</t>
  </si>
  <si>
    <t>?</t>
  </si>
  <si>
    <t>Kælder indervæg</t>
  </si>
  <si>
    <t>Tykkelse i mm</t>
  </si>
  <si>
    <t>Tykkelse mm</t>
  </si>
  <si>
    <t>Pris Kapillarbrydende lag</t>
  </si>
  <si>
    <t>Ja</t>
  </si>
  <si>
    <t>Nej</t>
  </si>
  <si>
    <t>Er der kælder?</t>
  </si>
  <si>
    <t>Kælderydervæg</t>
  </si>
  <si>
    <t>SUM KÆLDER. SC1</t>
  </si>
  <si>
    <t>Kælder</t>
  </si>
  <si>
    <t>Kælderdæk</t>
  </si>
  <si>
    <t>Pris Isolering tag</t>
  </si>
  <si>
    <t>Scenarie 1: KT</t>
  </si>
  <si>
    <t>Scenarie 2: KM</t>
  </si>
  <si>
    <t>Scenarie 4: BT</t>
  </si>
  <si>
    <t>Scenarie 2: KL</t>
  </si>
  <si>
    <t>Scenarie 5: BM</t>
  </si>
  <si>
    <t>Scenarie 6: BL</t>
  </si>
  <si>
    <t>Skillevæg</t>
  </si>
  <si>
    <t>4: Low Emission Tung</t>
  </si>
  <si>
    <t>Benyt Standard</t>
  </si>
  <si>
    <t>Tung Konventionel</t>
  </si>
  <si>
    <t>Middel Konventionel</t>
  </si>
  <si>
    <t>Vælg selv?</t>
  </si>
  <si>
    <t>KÆLDER</t>
  </si>
  <si>
    <t>Vindue type</t>
  </si>
  <si>
    <t>Scenarie 2:</t>
  </si>
  <si>
    <t>Scenarie 1:</t>
  </si>
  <si>
    <t>Karm type</t>
  </si>
  <si>
    <t>Konstruktions eksempler:</t>
  </si>
  <si>
    <t>Tilpasning af Bygningsdele:</t>
  </si>
  <si>
    <t>Materialetype Vælg:</t>
  </si>
  <si>
    <t>Kælder ydervæg</t>
  </si>
  <si>
    <t>Pris skillevægs konstruktion</t>
  </si>
  <si>
    <t>Kapilarbrydendelag</t>
  </si>
  <si>
    <t/>
  </si>
  <si>
    <t>Pris Terrændæk</t>
  </si>
  <si>
    <t>Pris Etagedæk</t>
  </si>
  <si>
    <t>Pris installationer</t>
  </si>
  <si>
    <t>Bygningsdel</t>
  </si>
  <si>
    <t>Total Pris</t>
  </si>
  <si>
    <t>Let Konventionel</t>
  </si>
  <si>
    <t>Let Lav Emission</t>
  </si>
  <si>
    <t>Middel Lav Emission</t>
  </si>
  <si>
    <t>Tung Lav Emission</t>
  </si>
  <si>
    <t>Vælg</t>
  </si>
  <si>
    <t>FUNDAMENT</t>
  </si>
  <si>
    <t>Længde</t>
  </si>
  <si>
    <t>Areal kælderydervæg [m2]</t>
  </si>
  <si>
    <t>Areal kældeindervæg [m2]</t>
  </si>
  <si>
    <t>Konstruktions oplysninger</t>
  </si>
  <si>
    <t>Fundament</t>
  </si>
  <si>
    <t>Linjefundament</t>
  </si>
  <si>
    <t>Punktfundament</t>
  </si>
  <si>
    <t>Skruefundament</t>
  </si>
  <si>
    <t>Pris Fundament</t>
  </si>
  <si>
    <t>Pr. m</t>
  </si>
  <si>
    <t>SUM FUNDAMENT. SC1</t>
  </si>
  <si>
    <t>YDERVÆGSKONSTRUKTIONER</t>
  </si>
  <si>
    <t>Hunton træfiberisolering</t>
  </si>
  <si>
    <t>Priser</t>
  </si>
  <si>
    <t>Vælg Selv</t>
  </si>
  <si>
    <t>Angivet opbygning:</t>
  </si>
  <si>
    <t>Rumdybde/Bygningsbredde [m]</t>
  </si>
  <si>
    <t>Etagehøjde [m]</t>
  </si>
  <si>
    <t>Bygningslængde [m]</t>
  </si>
  <si>
    <t>Areal Ydervæg [m2]</t>
  </si>
  <si>
    <t>Areal Terrændæk [m2]</t>
  </si>
  <si>
    <t>Areal Tag [m2]</t>
  </si>
  <si>
    <t>Areal Etagedæk [m2]</t>
  </si>
  <si>
    <t>Areal indervægge [m2]</t>
  </si>
  <si>
    <t>Areal vinduer [m2]</t>
  </si>
  <si>
    <t>Bygnings mål</t>
  </si>
  <si>
    <t>Biomasse</t>
  </si>
  <si>
    <t>[kg]</t>
  </si>
  <si>
    <t>Beregnet mængde</t>
  </si>
  <si>
    <t>Træ bjælker</t>
  </si>
  <si>
    <t>Stålkassette</t>
  </si>
  <si>
    <t>Trækassette</t>
  </si>
  <si>
    <t>Tykkelse isolering</t>
  </si>
  <si>
    <t>Total af d fasen</t>
  </si>
  <si>
    <t>kg/mm</t>
  </si>
  <si>
    <t>0,2 m3/m2</t>
  </si>
  <si>
    <t>340 mm med cc</t>
  </si>
  <si>
    <t>BIO/m2</t>
  </si>
  <si>
    <t>Total biomasse i kg</t>
  </si>
  <si>
    <t>Træfiberisoleringsplader</t>
  </si>
  <si>
    <t>Link</t>
  </si>
  <si>
    <t>300 mm</t>
  </si>
  <si>
    <t>100 mm</t>
  </si>
  <si>
    <r>
      <t>0,01 m</t>
    </r>
    <r>
      <rPr>
        <vertAlign val="superscript"/>
        <sz val="11"/>
        <color theme="1"/>
        <rFont val="Calibri"/>
        <family val="2"/>
        <scheme val="minor"/>
      </rPr>
      <t>2</t>
    </r>
  </si>
  <si>
    <r>
      <t>0,02 m</t>
    </r>
    <r>
      <rPr>
        <vertAlign val="superscript"/>
        <sz val="11"/>
        <color theme="1"/>
        <rFont val="Calibri"/>
        <family val="2"/>
        <scheme val="minor"/>
      </rPr>
      <t>2</t>
    </r>
  </si>
  <si>
    <r>
      <t>0,03 m</t>
    </r>
    <r>
      <rPr>
        <vertAlign val="superscript"/>
        <sz val="11"/>
        <color theme="1"/>
        <rFont val="Calibri"/>
        <family val="2"/>
        <scheme val="minor"/>
      </rPr>
      <t>3</t>
    </r>
  </si>
  <si>
    <r>
      <t>0,02 m</t>
    </r>
    <r>
      <rPr>
        <vertAlign val="superscript"/>
        <sz val="11"/>
        <color theme="1"/>
        <rFont val="Calibri"/>
        <family val="2"/>
        <scheme val="minor"/>
      </rPr>
      <t>3</t>
    </r>
  </si>
  <si>
    <t>Stålspær</t>
  </si>
  <si>
    <t>Perforeret krydsfiner</t>
  </si>
  <si>
    <t>Letklinker</t>
  </si>
  <si>
    <t>2,87+2,76 m</t>
  </si>
  <si>
    <t>Total - D fase</t>
  </si>
  <si>
    <t>Total- D fase</t>
  </si>
  <si>
    <t>Total - BIO kg</t>
  </si>
  <si>
    <t>0,03 m3</t>
  </si>
  <si>
    <t>EPD-23003</t>
  </si>
  <si>
    <t>Kalksandsten</t>
  </si>
  <si>
    <t>0,022 m3</t>
  </si>
  <si>
    <t>0,025 m3</t>
  </si>
  <si>
    <t>1 m2</t>
  </si>
  <si>
    <t>Sum D fasen</t>
  </si>
  <si>
    <t>Lager CO2</t>
  </si>
  <si>
    <t>CO2 lagret pr. kg biogen materiale:</t>
  </si>
  <si>
    <t>kg CO2</t>
  </si>
  <si>
    <t>Laminat</t>
  </si>
  <si>
    <t>Naturstensfliser</t>
  </si>
  <si>
    <t>Vådrumsgulv, fliser</t>
  </si>
  <si>
    <t>0,026 m3</t>
  </si>
  <si>
    <t>0,909 m2</t>
  </si>
  <si>
    <t>Betontagsten</t>
  </si>
  <si>
    <t>Nybyggeri - Bygningsdele 2023</t>
  </si>
  <si>
    <t>(47)11.10,01</t>
  </si>
  <si>
    <t>(47)12.50,01</t>
  </si>
  <si>
    <t>(27)15.15,01</t>
  </si>
  <si>
    <t>(27)15.30,01</t>
  </si>
  <si>
    <t>(27)19.35,01</t>
  </si>
  <si>
    <t>(35)12.30,01</t>
  </si>
  <si>
    <t>(35)25.05,01</t>
  </si>
  <si>
    <t>ID-nummer/beskrivelse</t>
  </si>
  <si>
    <t>04.23.48,04</t>
  </si>
  <si>
    <t>04.23.54,01</t>
  </si>
  <si>
    <t>04.23.45,01</t>
  </si>
  <si>
    <t>04.23.54,01 og 04.23.48,04</t>
  </si>
  <si>
    <t>Byggemarked</t>
  </si>
  <si>
    <t>(23)25.15,02</t>
  </si>
  <si>
    <t>(23)21.11,01</t>
  </si>
  <si>
    <t>(23)23.05,01</t>
  </si>
  <si>
    <t>(23)24.10,02</t>
  </si>
  <si>
    <t>Producent hjemmeside</t>
  </si>
  <si>
    <t>(22)21.05,01</t>
  </si>
  <si>
    <t>(22)24.06,01</t>
  </si>
  <si>
    <t>(22)25.05,01</t>
  </si>
  <si>
    <t>Producent</t>
  </si>
  <si>
    <t>(22)22.05,01</t>
  </si>
  <si>
    <t>(22)23.08,01</t>
  </si>
  <si>
    <t>(22)27.20,01</t>
  </si>
  <si>
    <t>(22)21.08,01</t>
  </si>
  <si>
    <t>gamlemursten.dk + Nybyggeri - Bygningsdele 2023</t>
  </si>
  <si>
    <t>(43)26.10,01</t>
  </si>
  <si>
    <t>(43)22.12,01</t>
  </si>
  <si>
    <t>(43)25.04,02</t>
  </si>
  <si>
    <t>(43)11.05,02</t>
  </si>
  <si>
    <t>(43)26.03,01</t>
  </si>
  <si>
    <t>(43)26.06,01</t>
  </si>
  <si>
    <t>(43)23.10,01</t>
  </si>
  <si>
    <t>(43)22.05,01</t>
  </si>
  <si>
    <t>(43)25.06,01</t>
  </si>
  <si>
    <t>03.20.22,01</t>
  </si>
  <si>
    <t>Nybyg - Bygningsdele 2023</t>
  </si>
  <si>
    <t>03.20.29,01</t>
  </si>
  <si>
    <t>(13)21.28,03</t>
  </si>
  <si>
    <t>(43)25.12,03</t>
  </si>
  <si>
    <t>(23)24.10,01</t>
  </si>
  <si>
    <t>(21)35.55,03</t>
  </si>
  <si>
    <t>(21)32.10,02 (04.15.30,02+04.15.34,04+04.17.01,01)</t>
  </si>
  <si>
    <t>(21)32.34,01 (kun beton: 04.10.60,05)</t>
  </si>
  <si>
    <t>(21)32.34,01 (kun plade: 04.23.21,04)</t>
  </si>
  <si>
    <t>(47)14.27,01 (04.40.45,04+04.40.45,09+04.40.45,13+04.40.45,12+04.23.33,03)</t>
  </si>
  <si>
    <t>(47)14.17,02</t>
  </si>
  <si>
    <t>(21)35.10,01</t>
  </si>
  <si>
    <t>(21)32.34,01</t>
  </si>
  <si>
    <t>04.15.05,09</t>
  </si>
  <si>
    <t>Molio - Nybyggeri - Bygningsdele 2023</t>
  </si>
  <si>
    <t>Gennemsnit af produkter på markedet</t>
  </si>
  <si>
    <t>03.20.45,01</t>
  </si>
  <si>
    <t>(31)43.10,01</t>
  </si>
  <si>
    <t>Molio - Nybyggeri - Bygningsdele 2024</t>
  </si>
  <si>
    <t>(31)43.11,01</t>
  </si>
  <si>
    <t>Molio - Nybyggeri - Bygningsdele 2025</t>
  </si>
  <si>
    <t>04.25.17,01</t>
  </si>
  <si>
    <t>(47)12.05,04</t>
  </si>
  <si>
    <t>(47)13.25,02</t>
  </si>
  <si>
    <t>(47)14.17,01</t>
  </si>
  <si>
    <t>Molio - Nybyggeri - Bygningsdele 2026</t>
  </si>
  <si>
    <t>Molio - Nybyggeri - Bygningsdele 2027</t>
  </si>
  <si>
    <t>(47)19.40,01</t>
  </si>
  <si>
    <t>Molio - Nybyggeri - Bygningsdele 2028</t>
  </si>
  <si>
    <t>Erfaringstal</t>
  </si>
  <si>
    <t>Stråtag Fyhn</t>
  </si>
  <si>
    <t>04.25.31,07</t>
  </si>
  <si>
    <t>Molio - Nybyggeri - Bygningsdele 2030</t>
  </si>
  <si>
    <t>Molio - Nybyggeri - Bygningsdele 2031</t>
  </si>
  <si>
    <t>(47)14.27,01</t>
  </si>
  <si>
    <t>Molio - Nybyggeri - Bygningsdele 2032</t>
  </si>
  <si>
    <t>(27)15.10,05</t>
  </si>
  <si>
    <t>(27)15.26,01</t>
  </si>
  <si>
    <t>(27)11.14,01</t>
  </si>
  <si>
    <t>Nybyggeri - Bygningsdele 2024</t>
  </si>
  <si>
    <t>(35) 21.05,01</t>
  </si>
  <si>
    <t>(35)12.05,01</t>
  </si>
  <si>
    <t>(47)15.10,01 + (35)25.05,01</t>
  </si>
  <si>
    <t>(35)12.30,01+(35)25.05,01</t>
  </si>
  <si>
    <t>(45)17.05,01</t>
  </si>
  <si>
    <t>(12)11.20,01</t>
  </si>
  <si>
    <t>(12)21.05,01</t>
  </si>
  <si>
    <t>Pris overslag</t>
  </si>
  <si>
    <t>(21)34.12,01</t>
  </si>
  <si>
    <t>link</t>
  </si>
  <si>
    <t>Teknik</t>
  </si>
  <si>
    <t>kg CO2/m2</t>
  </si>
  <si>
    <t>Moms</t>
  </si>
  <si>
    <t>Usikkerhedsfaktor</t>
  </si>
  <si>
    <t>d</t>
  </si>
  <si>
    <t>½</t>
  </si>
  <si>
    <t>Pris faktor pr. etage</t>
  </si>
  <si>
    <t>inventar og udendørs</t>
  </si>
  <si>
    <t>pr m2</t>
  </si>
  <si>
    <t>rådgiver, byggeplads mv</t>
  </si>
  <si>
    <t>Rådgiver og planlægning</t>
  </si>
  <si>
    <t>Inventar og landskab</t>
  </si>
  <si>
    <t>Etageadskillelse</t>
  </si>
  <si>
    <t>phstore.co.uk+04.15.05,09 arbejdsløn</t>
  </si>
  <si>
    <t>GRAMITHERM+04.15.05,09 arbejdsløn</t>
  </si>
  <si>
    <t>energieheld</t>
  </si>
  <si>
    <t>Biomasse i kg</t>
  </si>
  <si>
    <t>Gældende BR</t>
  </si>
  <si>
    <t>Efter 2029</t>
  </si>
  <si>
    <t>Pfaktor</t>
  </si>
  <si>
    <t>Reference areal inklusiv evt. kælder</t>
  </si>
  <si>
    <t>NHT</t>
  </si>
  <si>
    <t>Kommentar/isoleringsklasse</t>
  </si>
  <si>
    <t>Tykkelse af isolering i terrændæk i mm</t>
  </si>
  <si>
    <t>Stenuld Produktspecifik</t>
  </si>
  <si>
    <t>Glasuld Produktspecifik</t>
  </si>
  <si>
    <t>Træfiberisolering, løsuld Produktspecifik</t>
  </si>
  <si>
    <t>Træfiberisolering, batts Produktspecifik</t>
  </si>
  <si>
    <t>Papiruld 65 kg/m3 til væg Produktspecifik</t>
  </si>
  <si>
    <t>Papiruld 35 kg/m3 til loft Produktspecifik</t>
  </si>
  <si>
    <t>Træfibergranulat Produktspecifik</t>
  </si>
  <si>
    <t>Genbrugs isolering</t>
  </si>
  <si>
    <t>Genbrugs beklædning</t>
  </si>
  <si>
    <t>Genbrugs ophæng</t>
  </si>
  <si>
    <t>Genbrugs konstruktion</t>
  </si>
  <si>
    <t>Genbrugs tagbelægning</t>
  </si>
  <si>
    <t>Genbrugs loftbeklædning</t>
  </si>
  <si>
    <t>Genbrugs terrændæk</t>
  </si>
  <si>
    <t>Genbrugs kapillarbrydende lag</t>
  </si>
  <si>
    <t>Genbrugs dæk</t>
  </si>
  <si>
    <t>Genbrugs gulv på beton</t>
  </si>
  <si>
    <t xml:space="preserve">Genbrugs gulv på strøer </t>
  </si>
  <si>
    <t>Genbrugs belægning og undergulv</t>
  </si>
  <si>
    <t>Genbrugs vinduer</t>
  </si>
  <si>
    <t>Genbrugs karm</t>
  </si>
  <si>
    <t>Genbrugs fundament</t>
  </si>
  <si>
    <t>Vand</t>
  </si>
  <si>
    <t>Fra vand</t>
  </si>
  <si>
    <t>Fra Ventilation, varme og køling</t>
  </si>
  <si>
    <t>Afløb</t>
  </si>
  <si>
    <t>Fra afløb</t>
  </si>
  <si>
    <t>Afløb, Vand, Ventilation, varme og køling standardværdi</t>
  </si>
  <si>
    <t>Nuværende emission faktor</t>
  </si>
  <si>
    <t>Nye emission faktor</t>
  </si>
  <si>
    <t>Benyt ny emission?</t>
  </si>
  <si>
    <t>Solceller</t>
  </si>
  <si>
    <t>[kg CO2e/m2 soceller]</t>
  </si>
  <si>
    <t>[kWp/m2]</t>
  </si>
  <si>
    <t>[m2]</t>
  </si>
  <si>
    <t>[ kWh/m2 pr år]</t>
  </si>
  <si>
    <t xml:space="preserve">
Scenarie 1:</t>
  </si>
  <si>
    <t xml:space="preserve">
Scenarie 2:</t>
  </si>
  <si>
    <t>Kælder areal [m2]</t>
  </si>
  <si>
    <t>Er der solceller?</t>
  </si>
  <si>
    <t>Solcelle areal [m2]</t>
  </si>
  <si>
    <t>Reference areal uden kælder [m2]</t>
  </si>
  <si>
    <t>Energiforbrug efter solceller</t>
  </si>
  <si>
    <t>Tilføj varmerør ved at trykke på "+" i venstre side</t>
  </si>
  <si>
    <t>kWh / år</t>
  </si>
  <si>
    <t>Ydelse</t>
  </si>
  <si>
    <t>Forventet ydelse</t>
  </si>
  <si>
    <t>%</t>
  </si>
  <si>
    <t>På tag</t>
  </si>
  <si>
    <t>°</t>
  </si>
  <si>
    <t>45°</t>
  </si>
  <si>
    <t>15°</t>
  </si>
  <si>
    <t>[Verdenshjørne]</t>
  </si>
  <si>
    <t>Syd</t>
  </si>
  <si>
    <t>Orientering</t>
  </si>
  <si>
    <t>Installation</t>
  </si>
  <si>
    <t>Max produktion som kan indregnes</t>
  </si>
  <si>
    <t>CO2 elforbrug Scenarie 2</t>
  </si>
  <si>
    <t>CO2 elforbrug Scenarie 1</t>
  </si>
  <si>
    <t>Totalareal</t>
  </si>
  <si>
    <t>Europ. Virkningsgrad  (ηEU)</t>
  </si>
  <si>
    <t>Inverter</t>
  </si>
  <si>
    <t>Fritstående</t>
  </si>
  <si>
    <t>Placering</t>
  </si>
  <si>
    <t>Gennemsnitsværi i DK</t>
  </si>
  <si>
    <t>kWh / m2 * år</t>
  </si>
  <si>
    <t>By</t>
  </si>
  <si>
    <t>Solindfald - Data fra DMI</t>
  </si>
  <si>
    <t xml:space="preserve">Tabel 1 - Ydelse ved placering </t>
  </si>
  <si>
    <t>90°</t>
  </si>
  <si>
    <t>75°</t>
  </si>
  <si>
    <t>60°</t>
  </si>
  <si>
    <t>30°</t>
  </si>
  <si>
    <r>
      <t>0</t>
    </r>
    <r>
      <rPr>
        <b/>
        <sz val="12"/>
        <color rgb="FF404040"/>
        <rFont val="Calibri"/>
        <family val="2"/>
      </rPr>
      <t>°</t>
    </r>
  </si>
  <si>
    <t>Øst</t>
  </si>
  <si>
    <t>Ø-SØ</t>
  </si>
  <si>
    <t>S-SØ</t>
  </si>
  <si>
    <t>S-SV</t>
  </si>
  <si>
    <t>V-SV</t>
  </si>
  <si>
    <t>Vest</t>
  </si>
  <si>
    <t>Ydelse i % ved orientering og hældning</t>
  </si>
  <si>
    <t>kWh/ m2</t>
  </si>
  <si>
    <t>Modulvirkningsgrad [%]</t>
  </si>
  <si>
    <t>Antal moduler [stk]</t>
  </si>
  <si>
    <t>Areal pr modul [m2]</t>
  </si>
  <si>
    <t>Wp pr modul [Wp]</t>
  </si>
  <si>
    <t>Solcellen</t>
  </si>
  <si>
    <t>Solcelledata</t>
  </si>
  <si>
    <t>Vinkel af solceller</t>
  </si>
  <si>
    <t>0°</t>
  </si>
  <si>
    <t>Column5</t>
  </si>
  <si>
    <t>Column6</t>
  </si>
  <si>
    <t>Column8</t>
  </si>
  <si>
    <t>Column9</t>
  </si>
  <si>
    <t>Column10</t>
  </si>
  <si>
    <t>Column11</t>
  </si>
  <si>
    <t>Max produktion som kan indregnes pr. m2</t>
  </si>
  <si>
    <t>[kWh / år]</t>
  </si>
  <si>
    <t>[kWh /m2/ år]</t>
  </si>
  <si>
    <t>Indregnet produktion</t>
  </si>
  <si>
    <t>[kWp/modul]</t>
  </si>
  <si>
    <t>Produktspecifik Solcelle</t>
  </si>
  <si>
    <t>Standard solcelle</t>
  </si>
  <si>
    <t xml:space="preserve">
Bærende Konstruktion</t>
  </si>
  <si>
    <r>
      <t>CO</t>
    </r>
    <r>
      <rPr>
        <b/>
        <vertAlign val="subscript"/>
        <sz val="9"/>
        <color theme="2"/>
        <rFont val="Calibri"/>
        <family val="2"/>
        <scheme val="minor"/>
      </rPr>
      <t>2</t>
    </r>
    <r>
      <rPr>
        <b/>
        <sz val="9"/>
        <color theme="2"/>
        <rFont val="Calibri"/>
        <family val="2"/>
        <scheme val="minor"/>
      </rPr>
      <t xml:space="preserve"> materialer</t>
    </r>
  </si>
  <si>
    <t>CO2 aftryk pr. m2 / år</t>
  </si>
  <si>
    <t>Samlet CO2 aftryk over 50 år</t>
  </si>
  <si>
    <t>Potentiale for genanvendelse</t>
  </si>
  <si>
    <t>Er arbejdet omfattende?</t>
  </si>
  <si>
    <t>Procentdel af ref. Areal</t>
  </si>
  <si>
    <t>Vindues  procent</t>
  </si>
  <si>
    <t>Benyt ny Emission faktor</t>
  </si>
  <si>
    <r>
      <t>CO</t>
    </r>
    <r>
      <rPr>
        <b/>
        <sz val="12"/>
        <color theme="1"/>
        <rFont val="Calibri"/>
        <family val="2"/>
        <scheme val="minor"/>
      </rPr>
      <t>2</t>
    </r>
    <r>
      <rPr>
        <b/>
        <sz val="18"/>
        <color theme="1"/>
        <rFont val="Calibri"/>
        <family val="2"/>
        <scheme val="minor"/>
      </rPr>
      <t xml:space="preserve"> udledning</t>
    </r>
  </si>
  <si>
    <t>Klimavej 23</t>
  </si>
  <si>
    <t>KL</t>
  </si>
  <si>
    <t>kg</t>
  </si>
  <si>
    <t>Klimakrav for bygninger</t>
  </si>
  <si>
    <t>Feriebolig</t>
  </si>
  <si>
    <t>Enfamiliehus</t>
  </si>
  <si>
    <t>Etagebolig</t>
  </si>
  <si>
    <t>Institution</t>
  </si>
  <si>
    <t>Andet byggeri</t>
  </si>
  <si>
    <t>2023</t>
  </si>
  <si>
    <t>2025</t>
  </si>
  <si>
    <t>2027</t>
  </si>
  <si>
    <t>2029</t>
  </si>
  <si>
    <t>Frivillig CO2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</si>
</sst>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 #,##0.00_-;_-* &quot;-&quot;??_-;_-@_-"/>
    <numFmt numFmtId="164" formatCode="_-* #,##0_-;\-* #,##0_-;_-* &quot;-&quot;??_-;_-@_-"/>
    <numFmt numFmtId="165" formatCode="0.0"/>
    <numFmt numFmtId="166" formatCode="#,##0.0000"/>
    <numFmt numFmtId="167" formatCode="0.0000000"/>
    <numFmt numFmtId="168" formatCode="0.00000"/>
    <numFmt numFmtId="169" formatCode="0.0000"/>
    <numFmt numFmtId="170" formatCode="0.000"/>
    <numFmt numFmtId="171" formatCode="#,##0.0"/>
    <numFmt numFmtId="172" formatCode="#,##0.000"/>
    <numFmt numFmtId="173" formatCode="0.000000"/>
    <numFmt numFmtId="174" formatCode="_-* #,##0.000_-;\-* #,##0.000_-;_-* &quot;-&quot;??_-;_-@_-"/>
    <numFmt numFmtId="175" formatCode="#,##0.0000000"/>
    <numFmt numFmtId="176" formatCode="_-* #,##0.0\ _k_r_._-;\-* #,##0.0\ _k_r_._-;_-* &quot;-&quot;?\ _k_r_._-;_-@_-"/>
  </numFmts>
  <fonts count="111"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14"/>
      <color theme="1"/>
      <name val="Calibri"/>
      <family val="2"/>
      <scheme val="minor"/>
    </font>
    <font>
      <b/>
      <sz val="18"/>
      <color theme="1"/>
      <name val="Calibri"/>
      <family val="2"/>
      <scheme val="minor"/>
    </font>
    <font>
      <sz val="11"/>
      <color theme="1"/>
      <name val="Calibri"/>
      <family val="2"/>
      <scheme val="minor"/>
    </font>
    <font>
      <sz val="11"/>
      <color theme="1"/>
      <name val="Source Sans Pro"/>
      <family val="2"/>
    </font>
    <font>
      <b/>
      <sz val="11"/>
      <color theme="1"/>
      <name val="Source Sans Pro"/>
      <family val="2"/>
    </font>
    <font>
      <b/>
      <sz val="26"/>
      <color theme="1"/>
      <name val="Calibri"/>
      <family val="2"/>
      <scheme val="minor"/>
    </font>
    <font>
      <sz val="9"/>
      <color theme="1"/>
      <name val="Calibri"/>
      <family val="2"/>
      <scheme val="minor"/>
    </font>
    <font>
      <i/>
      <sz val="11"/>
      <color theme="1"/>
      <name val="Calibri"/>
      <family val="2"/>
      <scheme val="minor"/>
    </font>
    <font>
      <sz val="8"/>
      <name val="Calibri"/>
      <family val="2"/>
      <scheme val="minor"/>
    </font>
    <font>
      <b/>
      <sz val="12"/>
      <color theme="1"/>
      <name val="Calibri"/>
      <family val="2"/>
      <scheme val="minor"/>
    </font>
    <font>
      <sz val="11"/>
      <color rgb="FF9C0006"/>
      <name val="Calibri"/>
      <family val="2"/>
      <scheme val="minor"/>
    </font>
    <font>
      <b/>
      <sz val="16"/>
      <color theme="1"/>
      <name val="Calibri"/>
      <family val="2"/>
      <scheme val="minor"/>
    </font>
    <font>
      <sz val="11"/>
      <name val="Calibri"/>
      <family val="2"/>
      <scheme val="minor"/>
    </font>
    <font>
      <sz val="12"/>
      <color theme="1"/>
      <name val="Calibri"/>
      <family val="2"/>
      <scheme val="minor"/>
    </font>
    <font>
      <sz val="11"/>
      <color theme="7"/>
      <name val="Calibri"/>
      <family val="2"/>
      <scheme val="minor"/>
    </font>
    <font>
      <sz val="9"/>
      <color theme="7"/>
      <name val="Calibri"/>
      <family val="2"/>
      <scheme val="minor"/>
    </font>
    <font>
      <sz val="9"/>
      <name val="Calibri"/>
      <family val="2"/>
      <scheme val="minor"/>
    </font>
    <font>
      <b/>
      <sz val="22"/>
      <color theme="1"/>
      <name val="Calibri"/>
      <family val="2"/>
      <scheme val="minor"/>
    </font>
    <font>
      <sz val="11"/>
      <name val="Wingdings 3"/>
      <family val="1"/>
      <charset val="2"/>
    </font>
    <font>
      <b/>
      <sz val="22"/>
      <name val="Calibri"/>
      <family val="2"/>
      <scheme val="minor"/>
    </font>
    <font>
      <sz val="11"/>
      <color theme="0"/>
      <name val="Calibri"/>
      <family val="2"/>
      <scheme val="minor"/>
    </font>
    <font>
      <b/>
      <sz val="26"/>
      <color theme="0"/>
      <name val="Source Sans Pro"/>
      <family val="2"/>
    </font>
    <font>
      <sz val="11"/>
      <color theme="0"/>
      <name val="Source Sans Pro"/>
      <family val="2"/>
    </font>
    <font>
      <b/>
      <sz val="24"/>
      <color theme="0"/>
      <name val="Source Sans Pro"/>
      <family val="2"/>
    </font>
    <font>
      <sz val="11"/>
      <color theme="1"/>
      <name val="Calibri"/>
      <family val="2"/>
    </font>
    <font>
      <b/>
      <sz val="11"/>
      <color theme="1"/>
      <name val="Calibri"/>
      <family val="2"/>
    </font>
    <font>
      <b/>
      <sz val="7.7"/>
      <color theme="1"/>
      <name val="Calibri"/>
      <family val="2"/>
    </font>
    <font>
      <b/>
      <sz val="24"/>
      <color theme="3"/>
      <name val="Source Sans Pro"/>
      <family val="2"/>
    </font>
    <font>
      <b/>
      <sz val="11"/>
      <name val="Calibri"/>
      <family val="2"/>
      <scheme val="minor"/>
    </font>
    <font>
      <sz val="11"/>
      <color theme="8" tint="-0.249977111117893"/>
      <name val="Calibri"/>
      <family val="2"/>
      <scheme val="minor"/>
    </font>
    <font>
      <sz val="11"/>
      <color rgb="FFFF0000"/>
      <name val="Calibri"/>
      <family val="2"/>
      <scheme val="minor"/>
    </font>
    <font>
      <vertAlign val="superscript"/>
      <sz val="9"/>
      <color theme="1"/>
      <name val="Calibri"/>
      <family val="2"/>
      <scheme val="minor"/>
    </font>
    <font>
      <b/>
      <sz val="24"/>
      <color theme="0"/>
      <name val="Calibri"/>
      <family val="2"/>
      <scheme val="minor"/>
    </font>
    <font>
      <b/>
      <sz val="11"/>
      <color theme="0"/>
      <name val="Calibri"/>
      <family val="2"/>
      <scheme val="minor"/>
    </font>
    <font>
      <b/>
      <sz val="18"/>
      <name val="Calibri"/>
      <family val="2"/>
      <scheme val="minor"/>
    </font>
    <font>
      <sz val="11"/>
      <color theme="4"/>
      <name val="Calibri"/>
      <family val="2"/>
      <scheme val="minor"/>
    </font>
    <font>
      <vertAlign val="superscript"/>
      <sz val="11"/>
      <color theme="4"/>
      <name val="Calibri"/>
      <family val="2"/>
      <scheme val="minor"/>
    </font>
    <font>
      <sz val="11"/>
      <name val="Source Sans Pro"/>
      <family val="2"/>
    </font>
    <font>
      <vertAlign val="superscript"/>
      <sz val="11"/>
      <color theme="1"/>
      <name val="Calibri"/>
      <family val="2"/>
      <scheme val="minor"/>
    </font>
    <font>
      <u/>
      <sz val="11"/>
      <color theme="10"/>
      <name val="Calibri"/>
      <family val="2"/>
      <scheme val="minor"/>
    </font>
    <font>
      <b/>
      <sz val="14"/>
      <name val="Calibri"/>
      <family val="2"/>
      <scheme val="minor"/>
    </font>
    <font>
      <vertAlign val="superscript"/>
      <sz val="11"/>
      <name val="Calibri"/>
      <family val="2"/>
      <scheme val="minor"/>
    </font>
    <font>
      <b/>
      <sz val="18"/>
      <color theme="0"/>
      <name val="Calibri"/>
      <family val="2"/>
      <scheme val="minor"/>
    </font>
    <font>
      <sz val="16"/>
      <name val="Calibri"/>
      <family val="2"/>
      <scheme val="minor"/>
    </font>
    <font>
      <b/>
      <sz val="16"/>
      <name val="Source Sans Pro"/>
      <family val="2"/>
    </font>
    <font>
      <b/>
      <sz val="26"/>
      <color theme="0"/>
      <name val="Calibri"/>
      <family val="2"/>
      <scheme val="minor"/>
    </font>
    <font>
      <b/>
      <sz val="16"/>
      <name val="Calibri"/>
      <family val="2"/>
      <scheme val="minor"/>
    </font>
    <font>
      <sz val="28"/>
      <color theme="0"/>
      <name val="Calibri"/>
      <family val="2"/>
      <scheme val="minor"/>
    </font>
    <font>
      <vertAlign val="subscript"/>
      <sz val="16"/>
      <name val="Calibri"/>
      <family val="2"/>
      <scheme val="minor"/>
    </font>
    <font>
      <sz val="26"/>
      <color theme="0"/>
      <name val="Calibri"/>
      <family val="2"/>
      <scheme val="minor"/>
    </font>
    <font>
      <sz val="16"/>
      <color theme="8"/>
      <name val="Calibri"/>
      <family val="2"/>
      <scheme val="minor"/>
    </font>
    <font>
      <u/>
      <sz val="16"/>
      <color theme="8"/>
      <name val="Calibri"/>
      <family val="2"/>
      <scheme val="minor"/>
    </font>
    <font>
      <sz val="10"/>
      <color theme="1"/>
      <name val="Source Sans Pro"/>
      <family val="2"/>
    </font>
    <font>
      <sz val="11"/>
      <color theme="8"/>
      <name val="Calibri"/>
      <family val="2"/>
      <scheme val="minor"/>
    </font>
    <font>
      <sz val="9"/>
      <color theme="0"/>
      <name val="Calibri"/>
      <family val="2"/>
      <scheme val="minor"/>
    </font>
    <font>
      <vertAlign val="subscript"/>
      <sz val="9"/>
      <color theme="1"/>
      <name val="Calibri"/>
      <family val="2"/>
      <scheme val="minor"/>
    </font>
    <font>
      <vertAlign val="subscript"/>
      <sz val="11"/>
      <color theme="1"/>
      <name val="Calibri"/>
      <family val="2"/>
      <scheme val="minor"/>
    </font>
    <font>
      <sz val="8"/>
      <color indexed="81"/>
      <name val="Tahoma"/>
      <family val="2"/>
    </font>
    <font>
      <sz val="14"/>
      <color theme="0"/>
      <name val="Calibri"/>
      <family val="2"/>
      <scheme val="minor"/>
    </font>
    <font>
      <b/>
      <sz val="9"/>
      <color theme="1"/>
      <name val="Calibri"/>
      <family val="2"/>
      <scheme val="minor"/>
    </font>
    <font>
      <b/>
      <sz val="16"/>
      <color theme="0"/>
      <name val="Calibri"/>
      <family val="2"/>
      <scheme val="minor"/>
    </font>
    <font>
      <sz val="8"/>
      <color theme="1"/>
      <name val="Calibri"/>
      <family val="2"/>
      <scheme val="minor"/>
    </font>
    <font>
      <i/>
      <sz val="8"/>
      <color theme="1"/>
      <name val="Calibri"/>
      <family val="2"/>
      <scheme val="minor"/>
    </font>
    <font>
      <sz val="11"/>
      <color rgb="FF000000"/>
      <name val="Calibri"/>
      <family val="2"/>
    </font>
    <font>
      <b/>
      <sz val="11"/>
      <color rgb="FF000000"/>
      <name val="Calibri"/>
      <family val="2"/>
    </font>
    <font>
      <b/>
      <sz val="28"/>
      <color theme="0"/>
      <name val="Source Sans Pro"/>
      <family val="2"/>
    </font>
    <font>
      <sz val="11"/>
      <color rgb="FF000000"/>
      <name val="Calibri"/>
      <family val="2"/>
      <scheme val="minor"/>
    </font>
    <font>
      <b/>
      <vertAlign val="subscript"/>
      <sz val="28"/>
      <color theme="0"/>
      <name val="Source Sans Pro"/>
      <family val="2"/>
    </font>
    <font>
      <sz val="11"/>
      <color theme="2"/>
      <name val="Calibri"/>
      <family val="2"/>
      <scheme val="minor"/>
    </font>
    <font>
      <b/>
      <sz val="8"/>
      <color theme="1"/>
      <name val="Source Sans Pro"/>
      <family val="2"/>
    </font>
    <font>
      <sz val="11"/>
      <color theme="3"/>
      <name val="Calibri"/>
      <family val="2"/>
      <scheme val="minor"/>
    </font>
    <font>
      <sz val="11"/>
      <color theme="6" tint="0.79998168889431442"/>
      <name val="Source Sans Pro"/>
      <family val="2"/>
    </font>
    <font>
      <sz val="11"/>
      <color theme="2"/>
      <name val="Source Sans Pro"/>
      <family val="2"/>
    </font>
    <font>
      <b/>
      <sz val="20"/>
      <color theme="1"/>
      <name val="Calibri"/>
      <family val="2"/>
      <scheme val="minor"/>
    </font>
    <font>
      <sz val="9"/>
      <color theme="2"/>
      <name val="Calibri"/>
      <family val="2"/>
      <scheme val="minor"/>
    </font>
    <font>
      <sz val="11"/>
      <color theme="3" tint="0.79998168889431442"/>
      <name val="Calibri"/>
      <family val="2"/>
      <scheme val="minor"/>
    </font>
    <font>
      <sz val="11"/>
      <color theme="3" tint="0.39997558519241921"/>
      <name val="Calibri"/>
      <family val="2"/>
      <scheme val="minor"/>
    </font>
    <font>
      <sz val="11"/>
      <color rgb="FF0070C0"/>
      <name val="Calibri"/>
      <family val="2"/>
      <scheme val="minor"/>
    </font>
    <font>
      <sz val="10"/>
      <name val="Source Sans Pro"/>
      <family val="2"/>
    </font>
    <font>
      <sz val="10"/>
      <color theme="1"/>
      <name val="Calibri"/>
      <family val="2"/>
      <scheme val="minor"/>
    </font>
    <font>
      <sz val="11"/>
      <color theme="1"/>
      <name val="Calibri Light"/>
      <family val="2"/>
      <scheme val="major"/>
    </font>
    <font>
      <sz val="11"/>
      <name val="Calibri Light"/>
      <family val="2"/>
      <scheme val="major"/>
    </font>
    <font>
      <sz val="9"/>
      <color rgb="FF424242"/>
      <name val="Arial"/>
      <family val="2"/>
    </font>
    <font>
      <b/>
      <sz val="9"/>
      <color theme="2"/>
      <name val="Calibri"/>
      <family val="2"/>
      <scheme val="minor"/>
    </font>
    <font>
      <b/>
      <sz val="11"/>
      <color theme="2"/>
      <name val="Calibri"/>
      <family val="2"/>
      <scheme val="minor"/>
    </font>
    <font>
      <sz val="11"/>
      <color rgb="FF040C28"/>
      <name val="Calibri"/>
      <family val="2"/>
      <scheme val="minor"/>
    </font>
    <font>
      <sz val="11"/>
      <color rgb="FF040C28"/>
      <name val="Calibri Light"/>
      <family val="2"/>
      <scheme val="major"/>
    </font>
    <font>
      <sz val="11"/>
      <color theme="8" tint="0.79998168889431442"/>
      <name val="Calibri"/>
      <family val="2"/>
      <scheme val="minor"/>
    </font>
    <font>
      <u/>
      <sz val="11"/>
      <color theme="4"/>
      <name val="Calibri"/>
      <family val="2"/>
      <scheme val="minor"/>
    </font>
    <font>
      <b/>
      <sz val="12"/>
      <color indexed="81"/>
      <name val="Tahoma"/>
      <family val="2"/>
    </font>
    <font>
      <sz val="12"/>
      <color indexed="81"/>
      <name val="Tahoma"/>
      <family val="2"/>
    </font>
    <font>
      <sz val="11"/>
      <color rgb="FFE0EDDE"/>
      <name val="Calibri"/>
      <family val="2"/>
      <scheme val="minor"/>
    </font>
    <font>
      <sz val="11"/>
      <color theme="1"/>
      <name val="Symbol"/>
      <family val="1"/>
      <charset val="2"/>
    </font>
    <font>
      <sz val="12"/>
      <color rgb="FF404040"/>
      <name val="Arial"/>
      <family val="2"/>
    </font>
    <font>
      <b/>
      <sz val="12"/>
      <color rgb="FF404040"/>
      <name val="Arial"/>
      <family val="2"/>
    </font>
    <font>
      <b/>
      <sz val="12"/>
      <color rgb="FF404040"/>
      <name val="Calibri"/>
      <family val="2"/>
    </font>
    <font>
      <sz val="10"/>
      <color theme="0"/>
      <name val="Calibri"/>
      <family val="2"/>
      <scheme val="minor"/>
    </font>
    <font>
      <b/>
      <sz val="10"/>
      <color theme="1"/>
      <name val="Calibri"/>
      <family val="2"/>
      <scheme val="minor"/>
    </font>
    <font>
      <b/>
      <vertAlign val="subscript"/>
      <sz val="9"/>
      <color theme="2"/>
      <name val="Calibri"/>
      <family val="2"/>
      <scheme val="minor"/>
    </font>
    <font>
      <sz val="12"/>
      <color theme="3" tint="0.79998168889431442"/>
      <name val="Calibri"/>
      <family val="2"/>
      <scheme val="minor"/>
    </font>
    <font>
      <b/>
      <sz val="8"/>
      <name val="MT Extra"/>
      <family val="1"/>
      <charset val="2"/>
    </font>
    <font>
      <sz val="11"/>
      <color rgb="FFC00000"/>
      <name val="Calibri"/>
      <family val="2"/>
      <scheme val="minor"/>
    </font>
    <font>
      <sz val="11"/>
      <color rgb="FFC00000"/>
      <name val="Source Sans Pro"/>
      <family val="2"/>
    </font>
    <font>
      <sz val="9"/>
      <color rgb="FFC00000"/>
      <name val="Calibri"/>
      <family val="2"/>
      <scheme val="minor"/>
    </font>
    <font>
      <b/>
      <sz val="11"/>
      <color theme="3" tint="0.79998168889431442"/>
      <name val="Calibri"/>
      <family val="2"/>
      <scheme val="minor"/>
    </font>
    <font>
      <b/>
      <sz val="11"/>
      <color indexed="81"/>
      <name val="Tahoma"/>
      <family val="2"/>
    </font>
    <font>
      <sz val="11"/>
      <color indexed="81"/>
      <name val="Tahoma"/>
      <family val="2"/>
    </font>
  </fonts>
  <fills count="26">
    <fill>
      <patternFill patternType="none"/>
    </fill>
    <fill>
      <patternFill patternType="gray125"/>
    </fill>
    <fill>
      <patternFill patternType="solid">
        <fgColor theme="4" tint="0.79998168889431442"/>
        <bgColor indexed="64"/>
      </patternFill>
    </fill>
    <fill>
      <patternFill patternType="solid">
        <fgColor theme="7"/>
        <bgColor indexed="64"/>
      </patternFill>
    </fill>
    <fill>
      <patternFill patternType="solid">
        <fgColor theme="4"/>
        <bgColor indexed="64"/>
      </patternFill>
    </fill>
    <fill>
      <patternFill patternType="solid">
        <fgColor theme="4" tint="0.59999389629810485"/>
        <bgColor indexed="64"/>
      </patternFill>
    </fill>
    <fill>
      <patternFill patternType="solid">
        <fgColor rgb="FFFFC7CE"/>
      </patternFill>
    </fill>
    <fill>
      <patternFill patternType="solid">
        <fgColor theme="8"/>
        <bgColor indexed="64"/>
      </patternFill>
    </fill>
    <fill>
      <patternFill patternType="solid">
        <fgColor theme="3"/>
        <bgColor indexed="64"/>
      </patternFill>
    </fill>
    <fill>
      <patternFill patternType="solid">
        <fgColor theme="0" tint="-0.14999847407452621"/>
        <bgColor indexed="64"/>
      </patternFill>
    </fill>
    <fill>
      <patternFill patternType="solid">
        <fgColor theme="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A7D6EF"/>
        <bgColor indexed="64"/>
      </patternFill>
    </fill>
    <fill>
      <patternFill patternType="solid">
        <fgColor theme="2" tint="-9.9978637043366805E-2"/>
        <bgColor indexed="64"/>
      </patternFill>
    </fill>
    <fill>
      <patternFill patternType="solid">
        <fgColor theme="0"/>
        <bgColor indexed="64"/>
      </patternFill>
    </fill>
    <fill>
      <patternFill patternType="solid">
        <fgColor theme="5" tint="0.74999237037263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0D27"/>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4" tint="-0.249977111117893"/>
        <bgColor theme="4" tint="0.79998168889431442"/>
      </patternFill>
    </fill>
    <fill>
      <patternFill patternType="solid">
        <fgColor theme="4" tint="-0.249977111117893"/>
        <bgColor rgb="FF000000"/>
      </patternFill>
    </fill>
    <fill>
      <patternFill patternType="solid">
        <fgColor theme="4" tint="-0.249977111117893"/>
        <bgColor theme="4"/>
      </patternFill>
    </fill>
    <fill>
      <patternFill patternType="solid">
        <fgColor theme="6" tint="0.79998168889431442"/>
        <bgColor indexed="64"/>
      </patternFill>
    </fill>
  </fills>
  <borders count="9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rgb="FFD1E3CE"/>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theme="4" tint="0.39997558519241921"/>
      </left>
      <right/>
      <top style="thin">
        <color theme="4" tint="0.39997558519241921"/>
      </top>
      <bottom/>
      <diagonal/>
    </border>
    <border>
      <left style="medium">
        <color indexed="64"/>
      </left>
      <right/>
      <top style="thin">
        <color theme="4" tint="0.39997558519241921"/>
      </top>
      <bottom style="thin">
        <color theme="4" tint="0.39997558519241921"/>
      </bottom>
      <diagonal/>
    </border>
    <border>
      <left/>
      <right style="thin">
        <color theme="4" tint="0.39997558519241921"/>
      </right>
      <top style="thin">
        <color theme="4" tint="0.39997558519241921"/>
      </top>
      <bottom style="medium">
        <color indexed="64"/>
      </bottom>
      <diagonal/>
    </border>
    <border>
      <left style="medium">
        <color indexed="64"/>
      </left>
      <right/>
      <top/>
      <bottom style="thin">
        <color theme="4" tint="0.39997558519241921"/>
      </bottom>
      <diagonal/>
    </border>
    <border>
      <left style="thin">
        <color theme="4" tint="0.39997558519241921"/>
      </left>
      <right/>
      <top/>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style="medium">
        <color indexed="64"/>
      </left>
      <right/>
      <top style="thin">
        <color theme="4" tint="0.39997558519241921"/>
      </top>
      <bottom/>
      <diagonal/>
    </border>
    <border>
      <left/>
      <right style="medium">
        <color indexed="64"/>
      </right>
      <top style="thin">
        <color theme="4" tint="0.39997558519241921"/>
      </top>
      <bottom style="medium">
        <color indexed="64"/>
      </bottom>
      <diagonal/>
    </border>
    <border>
      <left/>
      <right style="medium">
        <color indexed="64"/>
      </right>
      <top style="thin">
        <color theme="4" tint="0.39997558519241921"/>
      </top>
      <bottom style="thin">
        <color theme="4" tint="0.39997558519241921"/>
      </bottom>
      <diagonal/>
    </border>
    <border>
      <left/>
      <right style="medium">
        <color indexed="64"/>
      </right>
      <top style="thin">
        <color theme="4" tint="0.39997558519241921"/>
      </top>
      <bottom/>
      <diagonal/>
    </border>
    <border>
      <left/>
      <right style="medium">
        <color indexed="64"/>
      </right>
      <top/>
      <bottom style="thin">
        <color theme="4" tint="0.39997558519241921"/>
      </bottom>
      <diagonal/>
    </border>
    <border>
      <left/>
      <right style="thin">
        <color theme="4" tint="0.39997558519241921"/>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s>
  <cellStyleXfs count="5">
    <xf numFmtId="0" fontId="0" fillId="0" borderId="0"/>
    <xf numFmtId="43" fontId="6" fillId="0" borderId="0" applyFont="0" applyFill="0" applyBorder="0" applyAlignment="0" applyProtection="0"/>
    <xf numFmtId="0" fontId="14" fillId="6" borderId="0" applyNumberFormat="0" applyBorder="0" applyAlignment="0" applyProtection="0"/>
    <xf numFmtId="0" fontId="43" fillId="0" borderId="0" applyNumberFormat="0" applyFill="0" applyBorder="0" applyAlignment="0" applyProtection="0"/>
    <xf numFmtId="9" fontId="6" fillId="0" borderId="0" applyFont="0" applyFill="0" applyBorder="0" applyAlignment="0" applyProtection="0"/>
  </cellStyleXfs>
  <cellXfs count="1153">
    <xf numFmtId="0" fontId="0" fillId="0" borderId="0" xfId="0"/>
    <xf numFmtId="0" fontId="1" fillId="3" borderId="0" xfId="0" applyFont="1" applyFill="1"/>
    <xf numFmtId="0" fontId="4" fillId="3" borderId="0" xfId="0" applyFont="1" applyFill="1"/>
    <xf numFmtId="0" fontId="0" fillId="0" borderId="0" xfId="0" applyAlignment="1">
      <alignment horizontal="center"/>
    </xf>
    <xf numFmtId="0" fontId="1" fillId="0" borderId="0" xfId="0" applyFont="1"/>
    <xf numFmtId="0" fontId="16" fillId="3" borderId="0" xfId="0" applyFont="1" applyFill="1"/>
    <xf numFmtId="0" fontId="16" fillId="3" borderId="0" xfId="0" applyFont="1" applyFill="1" applyAlignment="1">
      <alignment horizontal="center"/>
    </xf>
    <xf numFmtId="0" fontId="25" fillId="8" borderId="0" xfId="0" applyFont="1" applyFill="1"/>
    <xf numFmtId="0" fontId="24" fillId="8" borderId="0" xfId="0" applyFont="1" applyFill="1"/>
    <xf numFmtId="1" fontId="0" fillId="0" borderId="0" xfId="0" applyNumberFormat="1"/>
    <xf numFmtId="0" fontId="0" fillId="4" borderId="0" xfId="0" applyFill="1"/>
    <xf numFmtId="0" fontId="0" fillId="2" borderId="5" xfId="0" applyFill="1" applyBorder="1" applyAlignment="1" applyProtection="1">
      <alignment horizontal="center" vertical="center"/>
      <protection locked="0"/>
    </xf>
    <xf numFmtId="0" fontId="4" fillId="3" borderId="0" xfId="0" applyFont="1" applyFill="1" applyAlignment="1">
      <alignment vertical="center"/>
    </xf>
    <xf numFmtId="0" fontId="24" fillId="3" borderId="0" xfId="0" applyFont="1" applyFill="1"/>
    <xf numFmtId="0" fontId="0" fillId="3" borderId="0" xfId="0" applyFill="1"/>
    <xf numFmtId="0" fontId="0" fillId="9" borderId="8" xfId="0" applyFill="1" applyBorder="1" applyAlignment="1" applyProtection="1">
      <alignment horizontal="center" vertical="center"/>
      <protection locked="0"/>
    </xf>
    <xf numFmtId="0" fontId="0" fillId="9" borderId="10" xfId="0" applyFill="1" applyBorder="1" applyAlignment="1" applyProtection="1">
      <alignment horizontal="center" vertical="center"/>
      <protection locked="0"/>
    </xf>
    <xf numFmtId="0" fontId="1" fillId="4" borderId="0" xfId="0" applyFont="1" applyFill="1" applyAlignment="1">
      <alignment horizontal="center"/>
    </xf>
    <xf numFmtId="0" fontId="0" fillId="4" borderId="0" xfId="0" applyFill="1" applyAlignment="1">
      <alignment horizontal="center"/>
    </xf>
    <xf numFmtId="0" fontId="0" fillId="8" borderId="0" xfId="0" applyFill="1"/>
    <xf numFmtId="2" fontId="0" fillId="3" borderId="0" xfId="0" applyNumberFormat="1" applyFill="1" applyAlignment="1">
      <alignment horizontal="center"/>
    </xf>
    <xf numFmtId="0" fontId="0" fillId="3" borderId="0" xfId="0" applyFill="1" applyAlignment="1">
      <alignment horizontal="center"/>
    </xf>
    <xf numFmtId="0" fontId="0" fillId="3" borderId="0" xfId="0" applyFill="1" applyAlignment="1">
      <alignment horizontal="left"/>
    </xf>
    <xf numFmtId="2" fontId="0" fillId="3" borderId="0" xfId="0" applyNumberFormat="1" applyFill="1" applyAlignment="1">
      <alignment horizontal="center" vertical="center"/>
    </xf>
    <xf numFmtId="0" fontId="37" fillId="8" borderId="0" xfId="0" applyFont="1" applyFill="1" applyAlignment="1">
      <alignment horizontal="center"/>
    </xf>
    <xf numFmtId="0" fontId="24" fillId="8" borderId="0" xfId="0" applyFont="1" applyFill="1" applyAlignment="1">
      <alignment horizontal="center" vertical="center"/>
    </xf>
    <xf numFmtId="0" fontId="37" fillId="8" borderId="0" xfId="0" applyFont="1" applyFill="1"/>
    <xf numFmtId="0" fontId="0" fillId="4" borderId="0" xfId="0" applyFill="1" applyAlignment="1">
      <alignment vertical="center"/>
    </xf>
    <xf numFmtId="0" fontId="1" fillId="4" borderId="0" xfId="0" applyFont="1" applyFill="1"/>
    <xf numFmtId="0" fontId="5" fillId="4" borderId="0" xfId="0" applyFont="1" applyFill="1"/>
    <xf numFmtId="0" fontId="5" fillId="4" borderId="0" xfId="0" applyFont="1" applyFill="1" applyAlignment="1">
      <alignment vertical="top"/>
    </xf>
    <xf numFmtId="0" fontId="38" fillId="4" borderId="0" xfId="0" applyFont="1" applyFill="1"/>
    <xf numFmtId="0" fontId="39" fillId="4" borderId="0" xfId="0" applyFont="1" applyFill="1"/>
    <xf numFmtId="0" fontId="39" fillId="4" borderId="0" xfId="0" applyFont="1" applyFill="1" applyAlignment="1">
      <alignment horizontal="center"/>
    </xf>
    <xf numFmtId="0" fontId="4" fillId="3" borderId="6" xfId="0" applyFont="1" applyFill="1" applyBorder="1"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0" fillId="3" borderId="0" xfId="0" applyFill="1" applyAlignment="1">
      <alignment horizontal="center" wrapText="1"/>
    </xf>
    <xf numFmtId="0" fontId="39" fillId="3" borderId="0" xfId="0" applyFont="1" applyFill="1"/>
    <xf numFmtId="2" fontId="39" fillId="3" borderId="0" xfId="0" applyNumberFormat="1" applyFont="1" applyFill="1" applyAlignment="1">
      <alignment horizontal="center"/>
    </xf>
    <xf numFmtId="0" fontId="0" fillId="3" borderId="6" xfId="0" applyFill="1" applyBorder="1" applyAlignment="1">
      <alignment vertical="center"/>
    </xf>
    <xf numFmtId="0" fontId="0" fillId="3" borderId="6" xfId="0" applyFill="1" applyBorder="1" applyAlignment="1">
      <alignment horizontal="center" vertical="center"/>
    </xf>
    <xf numFmtId="0" fontId="0" fillId="3" borderId="2" xfId="0" applyFill="1" applyBorder="1" applyAlignment="1">
      <alignment vertical="center"/>
    </xf>
    <xf numFmtId="0" fontId="0" fillId="3" borderId="2" xfId="0" applyFill="1" applyBorder="1" applyAlignment="1">
      <alignment horizontal="center" vertical="center"/>
    </xf>
    <xf numFmtId="0" fontId="0" fillId="3" borderId="6" xfId="0" applyFill="1" applyBorder="1" applyAlignment="1">
      <alignment horizontal="center"/>
    </xf>
    <xf numFmtId="0" fontId="0" fillId="3" borderId="2" xfId="0" applyFill="1" applyBorder="1" applyAlignment="1">
      <alignment horizontal="center"/>
    </xf>
    <xf numFmtId="0" fontId="0" fillId="3" borderId="6" xfId="0" applyFill="1" applyBorder="1" applyAlignment="1">
      <alignment horizontal="left"/>
    </xf>
    <xf numFmtId="14" fontId="0" fillId="3" borderId="2" xfId="0" applyNumberFormat="1" applyFill="1" applyBorder="1" applyAlignment="1">
      <alignment vertical="center"/>
    </xf>
    <xf numFmtId="14" fontId="0" fillId="3" borderId="6" xfId="0" applyNumberFormat="1" applyFill="1" applyBorder="1" applyAlignment="1">
      <alignment vertical="center"/>
    </xf>
    <xf numFmtId="14" fontId="0" fillId="3" borderId="0" xfId="0" applyNumberFormat="1" applyFill="1" applyAlignment="1">
      <alignment vertical="center"/>
    </xf>
    <xf numFmtId="169" fontId="0" fillId="3" borderId="0" xfId="0" applyNumberFormat="1" applyFill="1" applyAlignment="1">
      <alignment horizontal="center" vertical="center"/>
    </xf>
    <xf numFmtId="0" fontId="4" fillId="3" borderId="6" xfId="0" applyFont="1" applyFill="1" applyBorder="1"/>
    <xf numFmtId="0" fontId="4" fillId="3" borderId="9" xfId="0" applyFont="1" applyFill="1" applyBorder="1" applyAlignment="1">
      <alignment horizontal="left" vertical="center"/>
    </xf>
    <xf numFmtId="14" fontId="16" fillId="3" borderId="0" xfId="0" applyNumberFormat="1" applyFont="1" applyFill="1"/>
    <xf numFmtId="14" fontId="16" fillId="3" borderId="0" xfId="0" applyNumberFormat="1" applyFont="1" applyFill="1" applyAlignment="1">
      <alignment horizontal="right"/>
    </xf>
    <xf numFmtId="14" fontId="16" fillId="3" borderId="6" xfId="0" applyNumberFormat="1" applyFont="1" applyFill="1" applyBorder="1"/>
    <xf numFmtId="0" fontId="16" fillId="3" borderId="6" xfId="0" applyFont="1" applyFill="1" applyBorder="1"/>
    <xf numFmtId="0" fontId="16" fillId="3" borderId="2" xfId="0" applyFont="1" applyFill="1" applyBorder="1"/>
    <xf numFmtId="14" fontId="16" fillId="3" borderId="6" xfId="0" applyNumberFormat="1" applyFont="1" applyFill="1" applyBorder="1" applyAlignment="1">
      <alignment horizontal="right"/>
    </xf>
    <xf numFmtId="0" fontId="16" fillId="3" borderId="6" xfId="0" applyFont="1" applyFill="1" applyBorder="1" applyAlignment="1">
      <alignment horizontal="center"/>
    </xf>
    <xf numFmtId="14" fontId="16" fillId="3" borderId="2" xfId="0" applyNumberFormat="1" applyFont="1" applyFill="1" applyBorder="1"/>
    <xf numFmtId="14" fontId="16" fillId="3" borderId="2" xfId="0" applyNumberFormat="1" applyFont="1" applyFill="1" applyBorder="1" applyAlignment="1">
      <alignment horizontal="right"/>
    </xf>
    <xf numFmtId="0" fontId="16" fillId="3" borderId="2" xfId="0" applyFont="1" applyFill="1" applyBorder="1" applyAlignment="1">
      <alignment horizontal="center"/>
    </xf>
    <xf numFmtId="0" fontId="4" fillId="3" borderId="9" xfId="0" applyFont="1" applyFill="1" applyBorder="1"/>
    <xf numFmtId="0" fontId="16" fillId="3" borderId="9" xfId="0" applyFont="1" applyFill="1" applyBorder="1"/>
    <xf numFmtId="0" fontId="16" fillId="3" borderId="9" xfId="0" applyFont="1" applyFill="1" applyBorder="1" applyAlignment="1">
      <alignment horizontal="center"/>
    </xf>
    <xf numFmtId="14" fontId="16" fillId="3" borderId="9" xfId="0" applyNumberFormat="1" applyFont="1" applyFill="1" applyBorder="1"/>
    <xf numFmtId="0" fontId="4" fillId="3" borderId="2" xfId="0" applyFont="1" applyFill="1" applyBorder="1" applyAlignment="1">
      <alignment vertical="center"/>
    </xf>
    <xf numFmtId="0" fontId="0" fillId="3" borderId="6" xfId="0" applyFill="1" applyBorder="1"/>
    <xf numFmtId="0" fontId="4" fillId="3" borderId="9" xfId="0" applyFont="1" applyFill="1" applyBorder="1" applyAlignment="1">
      <alignment vertical="center"/>
    </xf>
    <xf numFmtId="0" fontId="5" fillId="4" borderId="0" xfId="0" applyFont="1" applyFill="1" applyAlignment="1">
      <alignment horizontal="center"/>
    </xf>
    <xf numFmtId="14" fontId="0" fillId="3" borderId="0" xfId="0" applyNumberFormat="1" applyFill="1"/>
    <xf numFmtId="14" fontId="0" fillId="3" borderId="6" xfId="0" applyNumberFormat="1" applyFill="1" applyBorder="1"/>
    <xf numFmtId="0" fontId="0" fillId="3" borderId="2" xfId="0" applyFill="1" applyBorder="1"/>
    <xf numFmtId="14" fontId="0" fillId="3" borderId="2" xfId="0" applyNumberFormat="1" applyFill="1" applyBorder="1"/>
    <xf numFmtId="14" fontId="16" fillId="3" borderId="0" xfId="0" applyNumberFormat="1" applyFont="1" applyFill="1" applyAlignment="1">
      <alignment vertical="center"/>
    </xf>
    <xf numFmtId="14" fontId="16" fillId="3" borderId="2" xfId="0" applyNumberFormat="1" applyFont="1" applyFill="1" applyBorder="1" applyAlignment="1">
      <alignment vertical="center"/>
    </xf>
    <xf numFmtId="14" fontId="16" fillId="3" borderId="9" xfId="0" applyNumberFormat="1" applyFont="1" applyFill="1" applyBorder="1" applyAlignment="1">
      <alignment vertical="center"/>
    </xf>
    <xf numFmtId="14" fontId="0" fillId="3" borderId="9" xfId="0" applyNumberFormat="1" applyFill="1" applyBorder="1" applyAlignment="1">
      <alignment vertical="center"/>
    </xf>
    <xf numFmtId="0" fontId="0" fillId="3" borderId="9" xfId="0" applyFill="1" applyBorder="1" applyAlignment="1">
      <alignment horizontal="center" vertical="center"/>
    </xf>
    <xf numFmtId="0" fontId="15" fillId="0" borderId="0" xfId="0" applyFont="1"/>
    <xf numFmtId="0" fontId="46" fillId="8" borderId="0" xfId="0" applyFont="1" applyFill="1"/>
    <xf numFmtId="0" fontId="4" fillId="4" borderId="0" xfId="0" applyFont="1" applyFill="1"/>
    <xf numFmtId="0" fontId="4" fillId="4" borderId="0" xfId="0" applyFont="1" applyFill="1" applyAlignment="1">
      <alignment horizontal="center"/>
    </xf>
    <xf numFmtId="0" fontId="0" fillId="3" borderId="2" xfId="0" applyFill="1" applyBorder="1" applyAlignment="1">
      <alignment horizontal="left"/>
    </xf>
    <xf numFmtId="0" fontId="47" fillId="3" borderId="0" xfId="0" applyFont="1" applyFill="1"/>
    <xf numFmtId="0" fontId="4" fillId="3" borderId="6" xfId="0" applyFont="1" applyFill="1" applyBorder="1" applyAlignment="1">
      <alignment horizontal="left" vertical="center"/>
    </xf>
    <xf numFmtId="0" fontId="37" fillId="3" borderId="0" xfId="0" applyFont="1" applyFill="1" applyAlignment="1">
      <alignment horizontal="center"/>
    </xf>
    <xf numFmtId="0" fontId="5" fillId="3" borderId="0" xfId="0" applyFont="1" applyFill="1"/>
    <xf numFmtId="0" fontId="15" fillId="3" borderId="0" xfId="0" applyFont="1" applyFill="1" applyAlignment="1">
      <alignment vertical="top"/>
    </xf>
    <xf numFmtId="0" fontId="49" fillId="8" borderId="0" xfId="0" applyFont="1" applyFill="1"/>
    <xf numFmtId="0" fontId="49" fillId="3" borderId="0" xfId="0" applyFont="1" applyFill="1"/>
    <xf numFmtId="0" fontId="51" fillId="3" borderId="0" xfId="0" applyFont="1" applyFill="1"/>
    <xf numFmtId="0" fontId="53" fillId="3" borderId="0" xfId="0" applyFont="1" applyFill="1"/>
    <xf numFmtId="0" fontId="50" fillId="3" borderId="0" xfId="0" applyFont="1" applyFill="1"/>
    <xf numFmtId="14" fontId="0" fillId="3" borderId="0" xfId="0" applyNumberFormat="1" applyFill="1" applyAlignment="1">
      <alignment horizontal="right"/>
    </xf>
    <xf numFmtId="14" fontId="0" fillId="3" borderId="6" xfId="0" applyNumberFormat="1" applyFill="1" applyBorder="1" applyAlignment="1">
      <alignment horizontal="right"/>
    </xf>
    <xf numFmtId="14" fontId="0" fillId="3" borderId="2" xfId="0" applyNumberFormat="1" applyFill="1" applyBorder="1" applyAlignment="1">
      <alignment horizontal="right"/>
    </xf>
    <xf numFmtId="14" fontId="0" fillId="3" borderId="0" xfId="0" applyNumberFormat="1" applyFill="1" applyAlignment="1">
      <alignment horizontal="center"/>
    </xf>
    <xf numFmtId="14" fontId="0" fillId="3" borderId="6" xfId="0" applyNumberFormat="1" applyFill="1" applyBorder="1" applyAlignment="1">
      <alignment horizontal="center"/>
    </xf>
    <xf numFmtId="14" fontId="0" fillId="3" borderId="2" xfId="0" applyNumberFormat="1" applyFill="1" applyBorder="1" applyAlignment="1">
      <alignment horizontal="center"/>
    </xf>
    <xf numFmtId="14" fontId="0" fillId="3" borderId="9" xfId="0" applyNumberFormat="1" applyFill="1" applyBorder="1" applyAlignment="1">
      <alignment horizontal="center"/>
    </xf>
    <xf numFmtId="0" fontId="0" fillId="3" borderId="9" xfId="0" applyFill="1" applyBorder="1"/>
    <xf numFmtId="0" fontId="0" fillId="3" borderId="9" xfId="0" applyFill="1" applyBorder="1" applyAlignment="1">
      <alignment horizontal="center"/>
    </xf>
    <xf numFmtId="0" fontId="0" fillId="3" borderId="9" xfId="0" applyFill="1" applyBorder="1" applyAlignment="1">
      <alignment vertical="center"/>
    </xf>
    <xf numFmtId="14" fontId="0" fillId="3" borderId="9" xfId="0" applyNumberFormat="1" applyFill="1" applyBorder="1"/>
    <xf numFmtId="0" fontId="0" fillId="3" borderId="0" xfId="0" applyFill="1" applyAlignment="1">
      <alignment horizontal="right"/>
    </xf>
    <xf numFmtId="170" fontId="47" fillId="3" borderId="0" xfId="0" applyNumberFormat="1" applyFont="1" applyFill="1"/>
    <xf numFmtId="0" fontId="15" fillId="3" borderId="0" xfId="0" applyFont="1" applyFill="1"/>
    <xf numFmtId="0" fontId="38" fillId="3" borderId="0" xfId="0" applyFont="1" applyFill="1" applyAlignment="1">
      <alignment vertical="center"/>
    </xf>
    <xf numFmtId="0" fontId="16" fillId="3" borderId="0" xfId="3" applyFont="1" applyFill="1" applyBorder="1" applyAlignment="1" applyProtection="1">
      <alignment horizontal="left"/>
      <protection locked="0"/>
    </xf>
    <xf numFmtId="0" fontId="0" fillId="3" borderId="6" xfId="0" applyFill="1" applyBorder="1" applyAlignment="1" applyProtection="1">
      <alignment horizontal="left"/>
      <protection locked="0"/>
    </xf>
    <xf numFmtId="0" fontId="0" fillId="3" borderId="2" xfId="0" applyFill="1" applyBorder="1" applyAlignment="1" applyProtection="1">
      <alignment horizontal="left"/>
      <protection locked="0"/>
    </xf>
    <xf numFmtId="0" fontId="16" fillId="3" borderId="6" xfId="3" applyFont="1" applyFill="1" applyBorder="1" applyAlignment="1" applyProtection="1">
      <alignment horizontal="left"/>
      <protection locked="0"/>
    </xf>
    <xf numFmtId="0" fontId="0" fillId="3" borderId="2" xfId="0" applyFill="1" applyBorder="1" applyAlignment="1" applyProtection="1">
      <alignment vertical="center"/>
      <protection locked="0"/>
    </xf>
    <xf numFmtId="0" fontId="16" fillId="3" borderId="6" xfId="3" applyFont="1" applyFill="1" applyBorder="1" applyAlignment="1" applyProtection="1">
      <alignment vertical="center"/>
      <protection locked="0"/>
    </xf>
    <xf numFmtId="0" fontId="16" fillId="3" borderId="0" xfId="3" applyFont="1" applyFill="1" applyBorder="1" applyAlignment="1" applyProtection="1">
      <alignment vertical="center"/>
      <protection locked="0"/>
    </xf>
    <xf numFmtId="0" fontId="0" fillId="3" borderId="0" xfId="0" applyFill="1" applyAlignment="1" applyProtection="1">
      <alignment vertical="center"/>
      <protection locked="0"/>
    </xf>
    <xf numFmtId="0" fontId="0" fillId="3" borderId="0" xfId="0" applyFill="1" applyAlignment="1" applyProtection="1">
      <alignment horizontal="left"/>
      <protection locked="0"/>
    </xf>
    <xf numFmtId="0" fontId="0" fillId="3" borderId="6" xfId="0" applyFill="1" applyBorder="1" applyProtection="1">
      <protection locked="0"/>
    </xf>
    <xf numFmtId="0" fontId="0" fillId="3" borderId="0" xfId="0" applyFill="1" applyProtection="1">
      <protection locked="0"/>
    </xf>
    <xf numFmtId="0" fontId="16" fillId="3" borderId="2" xfId="3" applyFont="1" applyFill="1" applyBorder="1" applyAlignment="1" applyProtection="1">
      <alignment horizontal="left"/>
      <protection locked="0"/>
    </xf>
    <xf numFmtId="0" fontId="16" fillId="3" borderId="0" xfId="3" applyFont="1" applyFill="1" applyProtection="1">
      <protection locked="0"/>
    </xf>
    <xf numFmtId="0" fontId="16" fillId="3" borderId="0" xfId="3" applyFont="1" applyFill="1" applyAlignment="1" applyProtection="1">
      <alignment vertical="center"/>
      <protection locked="0"/>
    </xf>
    <xf numFmtId="0" fontId="16" fillId="3" borderId="0" xfId="3" applyFont="1" applyFill="1" applyBorder="1" applyProtection="1">
      <protection locked="0"/>
    </xf>
    <xf numFmtId="0" fontId="16" fillId="3" borderId="2" xfId="3" applyFont="1" applyFill="1" applyBorder="1" applyProtection="1">
      <protection locked="0"/>
    </xf>
    <xf numFmtId="0" fontId="16" fillId="3" borderId="6" xfId="3" applyFont="1" applyFill="1" applyBorder="1" applyProtection="1">
      <protection locked="0"/>
    </xf>
    <xf numFmtId="0" fontId="16" fillId="3" borderId="0" xfId="0" applyFont="1" applyFill="1" applyProtection="1">
      <protection locked="0"/>
    </xf>
    <xf numFmtId="0" fontId="16" fillId="3" borderId="9" xfId="3" applyFont="1" applyFill="1" applyBorder="1" applyProtection="1">
      <protection locked="0"/>
    </xf>
    <xf numFmtId="0" fontId="0" fillId="3" borderId="2" xfId="0" applyFill="1" applyBorder="1" applyProtection="1">
      <protection locked="0"/>
    </xf>
    <xf numFmtId="0" fontId="0" fillId="3" borderId="6" xfId="0" applyFill="1" applyBorder="1" applyAlignment="1" applyProtection="1">
      <alignment vertical="center"/>
      <protection locked="0"/>
    </xf>
    <xf numFmtId="0" fontId="0" fillId="3" borderId="9" xfId="0" applyFill="1" applyBorder="1" applyAlignment="1" applyProtection="1">
      <alignment vertical="center"/>
      <protection locked="0"/>
    </xf>
    <xf numFmtId="0" fontId="0" fillId="3" borderId="9" xfId="0" applyFill="1" applyBorder="1" applyProtection="1">
      <protection locked="0"/>
    </xf>
    <xf numFmtId="0" fontId="16" fillId="3" borderId="2" xfId="0" applyFont="1" applyFill="1" applyBorder="1" applyProtection="1">
      <protection locked="0"/>
    </xf>
    <xf numFmtId="0" fontId="0" fillId="2" borderId="0" xfId="0" applyFill="1"/>
    <xf numFmtId="0" fontId="4" fillId="4" borderId="0" xfId="0" applyFont="1" applyFill="1" applyAlignment="1">
      <alignment horizontal="left"/>
    </xf>
    <xf numFmtId="164" fontId="0" fillId="3" borderId="0" xfId="1" applyNumberFormat="1" applyFont="1" applyFill="1"/>
    <xf numFmtId="164" fontId="0" fillId="3" borderId="0" xfId="0" applyNumberFormat="1" applyFill="1"/>
    <xf numFmtId="9" fontId="0" fillId="3" borderId="0" xfId="4" applyFont="1" applyFill="1"/>
    <xf numFmtId="0" fontId="0" fillId="0" borderId="22" xfId="0" applyBorder="1"/>
    <xf numFmtId="0" fontId="0" fillId="0" borderId="24" xfId="0" applyBorder="1"/>
    <xf numFmtId="0" fontId="0" fillId="0" borderId="27" xfId="0" applyBorder="1"/>
    <xf numFmtId="0" fontId="0" fillId="0" borderId="28" xfId="0" applyBorder="1"/>
    <xf numFmtId="0" fontId="0" fillId="0" borderId="29" xfId="0" applyBorder="1"/>
    <xf numFmtId="0" fontId="0" fillId="0" borderId="31" xfId="0" applyBorder="1"/>
    <xf numFmtId="0" fontId="0" fillId="0" borderId="30" xfId="0" applyBorder="1"/>
    <xf numFmtId="170" fontId="0" fillId="0" borderId="28" xfId="0" applyNumberFormat="1" applyBorder="1"/>
    <xf numFmtId="170" fontId="0" fillId="0" borderId="31" xfId="0" applyNumberFormat="1" applyBorder="1"/>
    <xf numFmtId="2" fontId="0" fillId="0" borderId="28" xfId="0" applyNumberFormat="1" applyBorder="1"/>
    <xf numFmtId="165" fontId="0" fillId="0" borderId="28" xfId="0" applyNumberFormat="1" applyBorder="1"/>
    <xf numFmtId="165" fontId="0" fillId="0" borderId="31" xfId="0" applyNumberFormat="1" applyBorder="1"/>
    <xf numFmtId="165" fontId="0" fillId="0" borderId="24" xfId="0" applyNumberFormat="1" applyBorder="1"/>
    <xf numFmtId="0" fontId="63" fillId="4" borderId="0" xfId="0" applyFont="1" applyFill="1" applyAlignment="1">
      <alignment horizontal="center"/>
    </xf>
    <xf numFmtId="0" fontId="64" fillId="8" borderId="18" xfId="0" applyFont="1" applyFill="1" applyBorder="1"/>
    <xf numFmtId="0" fontId="24" fillId="8" borderId="32" xfId="0" applyFont="1" applyFill="1" applyBorder="1"/>
    <xf numFmtId="0" fontId="24" fillId="8" borderId="33" xfId="0" applyFont="1" applyFill="1" applyBorder="1"/>
    <xf numFmtId="0" fontId="65" fillId="4" borderId="34" xfId="0" applyFont="1" applyFill="1" applyBorder="1" applyAlignment="1">
      <alignment horizontal="center"/>
    </xf>
    <xf numFmtId="0" fontId="65" fillId="4" borderId="10" xfId="0" applyFont="1" applyFill="1" applyBorder="1"/>
    <xf numFmtId="0" fontId="65" fillId="4" borderId="10" xfId="0" applyFont="1" applyFill="1" applyBorder="1" applyAlignment="1">
      <alignment horizontal="center"/>
    </xf>
    <xf numFmtId="0" fontId="65" fillId="4" borderId="8" xfId="0" applyFont="1" applyFill="1" applyBorder="1" applyAlignment="1">
      <alignment horizontal="center"/>
    </xf>
    <xf numFmtId="0" fontId="65" fillId="3" borderId="10" xfId="0" applyFont="1" applyFill="1" applyBorder="1"/>
    <xf numFmtId="1" fontId="65" fillId="3" borderId="10" xfId="0" applyNumberFormat="1" applyFont="1" applyFill="1" applyBorder="1" applyAlignment="1">
      <alignment horizontal="center"/>
    </xf>
    <xf numFmtId="0" fontId="65" fillId="3" borderId="10" xfId="0" applyFont="1" applyFill="1" applyBorder="1" applyAlignment="1">
      <alignment horizontal="center"/>
    </xf>
    <xf numFmtId="9" fontId="65" fillId="3" borderId="10" xfId="4" applyFont="1" applyFill="1" applyBorder="1"/>
    <xf numFmtId="0" fontId="65" fillId="3" borderId="10" xfId="4" applyNumberFormat="1" applyFont="1" applyFill="1" applyBorder="1" applyAlignment="1">
      <alignment horizontal="center"/>
    </xf>
    <xf numFmtId="0" fontId="65" fillId="3" borderId="0" xfId="0" applyFont="1" applyFill="1"/>
    <xf numFmtId="0" fontId="66" fillId="3" borderId="0" xfId="0" applyFont="1" applyFill="1"/>
    <xf numFmtId="0" fontId="0" fillId="3" borderId="0" xfId="4" applyNumberFormat="1" applyFont="1" applyFill="1"/>
    <xf numFmtId="0" fontId="0" fillId="9" borderId="37" xfId="0" applyFill="1" applyBorder="1" applyAlignment="1" applyProtection="1">
      <alignment horizontal="center" vertical="center"/>
      <protection locked="0"/>
    </xf>
    <xf numFmtId="49" fontId="0" fillId="9" borderId="26" xfId="0" applyNumberFormat="1" applyFill="1" applyBorder="1" applyAlignment="1" applyProtection="1">
      <alignment horizontal="center" vertical="center"/>
      <protection locked="0"/>
    </xf>
    <xf numFmtId="164" fontId="1" fillId="3" borderId="0" xfId="0" applyNumberFormat="1" applyFont="1" applyFill="1"/>
    <xf numFmtId="0" fontId="0" fillId="9" borderId="17"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10" borderId="0" xfId="0" applyFill="1"/>
    <xf numFmtId="0" fontId="16" fillId="10" borderId="0" xfId="0" applyFont="1" applyFill="1"/>
    <xf numFmtId="0" fontId="16" fillId="10" borderId="0" xfId="0" applyFont="1" applyFill="1" applyAlignment="1">
      <alignment horizontal="center"/>
    </xf>
    <xf numFmtId="0" fontId="7" fillId="10" borderId="0" xfId="0" applyFont="1" applyFill="1"/>
    <xf numFmtId="14" fontId="0" fillId="10" borderId="0" xfId="0" applyNumberFormat="1" applyFill="1"/>
    <xf numFmtId="2" fontId="16" fillId="10" borderId="0" xfId="0" applyNumberFormat="1" applyFont="1" applyFill="1"/>
    <xf numFmtId="0" fontId="23" fillId="10" borderId="27" xfId="0" applyFont="1" applyFill="1" applyBorder="1" applyAlignment="1">
      <alignment horizontal="left"/>
    </xf>
    <xf numFmtId="2" fontId="16" fillId="10" borderId="28" xfId="0" applyNumberFormat="1" applyFont="1" applyFill="1" applyBorder="1"/>
    <xf numFmtId="2" fontId="16" fillId="10" borderId="27" xfId="0" applyNumberFormat="1" applyFont="1" applyFill="1" applyBorder="1"/>
    <xf numFmtId="0" fontId="22" fillId="10" borderId="0" xfId="0" applyFont="1" applyFill="1"/>
    <xf numFmtId="0" fontId="0" fillId="10" borderId="28" xfId="0" applyFill="1" applyBorder="1"/>
    <xf numFmtId="0" fontId="16" fillId="10" borderId="27" xfId="0" applyFont="1" applyFill="1" applyBorder="1"/>
    <xf numFmtId="2" fontId="16" fillId="10" borderId="29" xfId="0" applyNumberFormat="1" applyFont="1" applyFill="1" applyBorder="1"/>
    <xf numFmtId="0" fontId="16" fillId="10" borderId="30" xfId="0" applyFont="1" applyFill="1" applyBorder="1"/>
    <xf numFmtId="0" fontId="0" fillId="10" borderId="30" xfId="0" applyFill="1" applyBorder="1"/>
    <xf numFmtId="0" fontId="7" fillId="10" borderId="30" xfId="0" applyFont="1" applyFill="1" applyBorder="1"/>
    <xf numFmtId="0" fontId="0" fillId="10" borderId="31" xfId="0" applyFill="1" applyBorder="1"/>
    <xf numFmtId="0" fontId="24" fillId="12" borderId="22" xfId="0" applyFont="1" applyFill="1" applyBorder="1"/>
    <xf numFmtId="0" fontId="24" fillId="12" borderId="24" xfId="0" applyFont="1" applyFill="1" applyBorder="1"/>
    <xf numFmtId="0" fontId="18" fillId="12" borderId="27" xfId="0" applyFont="1" applyFill="1" applyBorder="1"/>
    <xf numFmtId="0" fontId="16" fillId="12" borderId="28" xfId="0" applyFont="1" applyFill="1" applyBorder="1" applyAlignment="1">
      <alignment horizontal="center"/>
    </xf>
    <xf numFmtId="0" fontId="0" fillId="12" borderId="27" xfId="0" applyFill="1" applyBorder="1"/>
    <xf numFmtId="0" fontId="1" fillId="12" borderId="0" xfId="0" applyFont="1" applyFill="1" applyAlignment="1">
      <alignment horizontal="center" vertical="center" wrapText="1"/>
    </xf>
    <xf numFmtId="0" fontId="0" fillId="12" borderId="28" xfId="0" applyFill="1" applyBorder="1"/>
    <xf numFmtId="0" fontId="16" fillId="10" borderId="28" xfId="0" applyFont="1" applyFill="1" applyBorder="1"/>
    <xf numFmtId="0" fontId="10" fillId="10" borderId="0" xfId="0" applyFont="1" applyFill="1"/>
    <xf numFmtId="0" fontId="10" fillId="12" borderId="42" xfId="0" applyFont="1" applyFill="1" applyBorder="1" applyAlignment="1">
      <alignment horizontal="left" vertical="center"/>
    </xf>
    <xf numFmtId="0" fontId="10" fillId="12" borderId="7" xfId="0" applyFont="1" applyFill="1" applyBorder="1" applyAlignment="1">
      <alignment horizontal="center" vertical="center" wrapText="1"/>
    </xf>
    <xf numFmtId="0" fontId="10" fillId="12" borderId="6" xfId="0" applyFont="1" applyFill="1" applyBorder="1" applyAlignment="1">
      <alignment horizontal="center" vertical="center" wrapText="1"/>
    </xf>
    <xf numFmtId="0" fontId="19" fillId="12" borderId="27" xfId="0" applyFont="1" applyFill="1" applyBorder="1"/>
    <xf numFmtId="0" fontId="10" fillId="12" borderId="28" xfId="0" applyFont="1" applyFill="1" applyBorder="1"/>
    <xf numFmtId="0" fontId="20" fillId="10" borderId="0" xfId="0" applyFont="1" applyFill="1"/>
    <xf numFmtId="0" fontId="4" fillId="12" borderId="15" xfId="0" applyFont="1" applyFill="1" applyBorder="1" applyAlignment="1">
      <alignment vertical="center"/>
    </xf>
    <xf numFmtId="165" fontId="0" fillId="12" borderId="5" xfId="0" applyNumberFormat="1" applyFill="1" applyBorder="1" applyAlignment="1">
      <alignment horizontal="center" vertical="center"/>
    </xf>
    <xf numFmtId="165" fontId="0" fillId="12" borderId="8" xfId="0" applyNumberFormat="1" applyFill="1" applyBorder="1" applyAlignment="1">
      <alignment horizontal="center" vertical="center"/>
    </xf>
    <xf numFmtId="0" fontId="4" fillId="12" borderId="38" xfId="0" applyFont="1" applyFill="1" applyBorder="1" applyAlignment="1">
      <alignment horizontal="left" vertical="center"/>
    </xf>
    <xf numFmtId="0" fontId="4" fillId="12" borderId="16" xfId="0" applyFont="1" applyFill="1" applyBorder="1" applyAlignment="1">
      <alignment vertical="center"/>
    </xf>
    <xf numFmtId="165" fontId="0" fillId="12" borderId="44" xfId="0" applyNumberFormat="1" applyFill="1" applyBorder="1" applyAlignment="1">
      <alignment horizontal="center" vertical="center"/>
    </xf>
    <xf numFmtId="165" fontId="0" fillId="12" borderId="45" xfId="0" applyNumberFormat="1" applyFill="1" applyBorder="1" applyAlignment="1">
      <alignment horizontal="center" vertical="center"/>
    </xf>
    <xf numFmtId="0" fontId="18" fillId="12" borderId="29" xfId="0" applyFont="1" applyFill="1" applyBorder="1"/>
    <xf numFmtId="0" fontId="0" fillId="12" borderId="31" xfId="0" applyFill="1" applyBorder="1"/>
    <xf numFmtId="0" fontId="16" fillId="10" borderId="31" xfId="0" applyFont="1" applyFill="1" applyBorder="1"/>
    <xf numFmtId="0" fontId="34" fillId="10" borderId="0" xfId="0" applyFont="1" applyFill="1"/>
    <xf numFmtId="0" fontId="10" fillId="10" borderId="0" xfId="0" applyFont="1" applyFill="1" applyAlignment="1">
      <alignment horizontal="center" vertical="center" textRotation="90" wrapText="1"/>
    </xf>
    <xf numFmtId="0" fontId="18" fillId="10" borderId="0" xfId="0" applyFont="1" applyFill="1"/>
    <xf numFmtId="1" fontId="0" fillId="10" borderId="0" xfId="0" applyNumberFormat="1" applyFill="1"/>
    <xf numFmtId="0" fontId="4" fillId="10" borderId="0" xfId="0" applyFont="1" applyFill="1"/>
    <xf numFmtId="0" fontId="4" fillId="10" borderId="0" xfId="0" applyFont="1" applyFill="1" applyAlignment="1">
      <alignment wrapText="1"/>
    </xf>
    <xf numFmtId="0" fontId="1" fillId="10" borderId="0" xfId="0" applyFont="1" applyFill="1" applyAlignment="1">
      <alignment horizontal="left" vertical="center"/>
    </xf>
    <xf numFmtId="0" fontId="17" fillId="10" borderId="0" xfId="0" applyFont="1" applyFill="1" applyAlignment="1">
      <alignment horizontal="left" vertical="center"/>
    </xf>
    <xf numFmtId="0" fontId="1" fillId="10" borderId="0" xfId="0" applyFont="1" applyFill="1" applyAlignment="1">
      <alignment horizontal="center" vertical="center" wrapText="1"/>
    </xf>
    <xf numFmtId="0" fontId="0" fillId="10" borderId="0" xfId="0" applyFill="1" applyAlignment="1">
      <alignment horizontal="left" vertical="center"/>
    </xf>
    <xf numFmtId="0" fontId="16" fillId="10" borderId="0" xfId="0" applyFont="1" applyFill="1" applyAlignment="1">
      <alignment horizontal="left" vertical="center"/>
    </xf>
    <xf numFmtId="0" fontId="1" fillId="10" borderId="27" xfId="0" applyFont="1" applyFill="1" applyBorder="1" applyAlignment="1">
      <alignment horizontal="left" vertical="center"/>
    </xf>
    <xf numFmtId="0" fontId="18" fillId="10" borderId="28" xfId="0" applyFont="1" applyFill="1" applyBorder="1"/>
    <xf numFmtId="0" fontId="0" fillId="10" borderId="0" xfId="0" applyFill="1" applyAlignment="1">
      <alignment horizontal="center" vertical="center"/>
    </xf>
    <xf numFmtId="1" fontId="0" fillId="10" borderId="0" xfId="0" applyNumberFormat="1" applyFill="1" applyAlignment="1">
      <alignment horizontal="center" vertical="center"/>
    </xf>
    <xf numFmtId="1" fontId="1" fillId="10" borderId="0" xfId="0" applyNumberFormat="1" applyFont="1" applyFill="1" applyAlignment="1">
      <alignment horizontal="center" vertical="center"/>
    </xf>
    <xf numFmtId="0" fontId="18" fillId="10" borderId="28" xfId="0" applyFont="1" applyFill="1" applyBorder="1" applyAlignment="1">
      <alignment horizontal="center"/>
    </xf>
    <xf numFmtId="0" fontId="1" fillId="10" borderId="29" xfId="0" applyFont="1" applyFill="1" applyBorder="1" applyAlignment="1">
      <alignment horizontal="left" vertical="center"/>
    </xf>
    <xf numFmtId="0" fontId="1" fillId="10" borderId="30" xfId="0" applyFont="1" applyFill="1" applyBorder="1" applyAlignment="1">
      <alignment horizontal="left" vertical="center"/>
    </xf>
    <xf numFmtId="0" fontId="0" fillId="10" borderId="30" xfId="0" applyFill="1" applyBorder="1" applyAlignment="1">
      <alignment horizontal="center" vertical="center"/>
    </xf>
    <xf numFmtId="1" fontId="0" fillId="10" borderId="30" xfId="0" applyNumberFormat="1" applyFill="1" applyBorder="1" applyAlignment="1">
      <alignment horizontal="center" vertical="center"/>
    </xf>
    <xf numFmtId="1" fontId="1" fillId="10" borderId="30" xfId="0" applyNumberFormat="1" applyFont="1" applyFill="1" applyBorder="1" applyAlignment="1">
      <alignment horizontal="center" vertical="center"/>
    </xf>
    <xf numFmtId="0" fontId="4" fillId="10" borderId="30" xfId="0" applyFont="1" applyFill="1" applyBorder="1" applyAlignment="1">
      <alignment wrapText="1"/>
    </xf>
    <xf numFmtId="0" fontId="18" fillId="10" borderId="31" xfId="0" applyFont="1" applyFill="1" applyBorder="1" applyAlignment="1">
      <alignment horizontal="center"/>
    </xf>
    <xf numFmtId="0" fontId="4" fillId="10" borderId="0" xfId="0" applyFont="1" applyFill="1" applyAlignment="1">
      <alignment horizontal="center" wrapText="1"/>
    </xf>
    <xf numFmtId="0" fontId="18" fillId="10" borderId="0" xfId="0" applyFont="1" applyFill="1" applyAlignment="1">
      <alignment horizontal="center"/>
    </xf>
    <xf numFmtId="1" fontId="16" fillId="10" borderId="0" xfId="0" applyNumberFormat="1" applyFont="1" applyFill="1" applyAlignment="1">
      <alignment horizontal="center"/>
    </xf>
    <xf numFmtId="0" fontId="0" fillId="10" borderId="27" xfId="0" applyFill="1" applyBorder="1"/>
    <xf numFmtId="0" fontId="9" fillId="16" borderId="0" xfId="0" applyFont="1" applyFill="1"/>
    <xf numFmtId="0" fontId="0" fillId="16" borderId="0" xfId="0" applyFill="1"/>
    <xf numFmtId="0" fontId="4" fillId="16" borderId="0" xfId="0" applyFont="1" applyFill="1"/>
    <xf numFmtId="0" fontId="1" fillId="16" borderId="0" xfId="0" applyFont="1" applyFill="1"/>
    <xf numFmtId="0" fontId="11" fillId="16" borderId="0" xfId="0" applyFont="1" applyFill="1"/>
    <xf numFmtId="0" fontId="0" fillId="0" borderId="51" xfId="0" applyBorder="1"/>
    <xf numFmtId="0" fontId="0" fillId="0" borderId="52" xfId="0" applyBorder="1"/>
    <xf numFmtId="0" fontId="0" fillId="0" borderId="53" xfId="0" applyBorder="1"/>
    <xf numFmtId="0" fontId="72" fillId="10" borderId="0" xfId="0" applyFont="1" applyFill="1"/>
    <xf numFmtId="3" fontId="72" fillId="10" borderId="0" xfId="0" applyNumberFormat="1" applyFont="1" applyFill="1"/>
    <xf numFmtId="0" fontId="25" fillId="8" borderId="0" xfId="0" applyFont="1" applyFill="1" applyProtection="1">
      <protection hidden="1"/>
    </xf>
    <xf numFmtId="0" fontId="26" fillId="8" borderId="0" xfId="0" applyFont="1" applyFill="1" applyProtection="1">
      <protection hidden="1"/>
    </xf>
    <xf numFmtId="0" fontId="0" fillId="8" borderId="0" xfId="0" applyFill="1" applyProtection="1">
      <protection hidden="1"/>
    </xf>
    <xf numFmtId="0" fontId="0" fillId="3" borderId="0" xfId="0" applyFill="1" applyProtection="1">
      <protection hidden="1"/>
    </xf>
    <xf numFmtId="0" fontId="25" fillId="3" borderId="0" xfId="0" applyFont="1" applyFill="1" applyProtection="1">
      <protection hidden="1"/>
    </xf>
    <xf numFmtId="0" fontId="26" fillId="3" borderId="0" xfId="0" applyFont="1" applyFill="1" applyProtection="1">
      <protection hidden="1"/>
    </xf>
    <xf numFmtId="0" fontId="48" fillId="3" borderId="0" xfId="0" applyFont="1" applyFill="1" applyProtection="1">
      <protection hidden="1"/>
    </xf>
    <xf numFmtId="0" fontId="24" fillId="8" borderId="0" xfId="0" applyFont="1" applyFill="1" applyProtection="1">
      <protection hidden="1"/>
    </xf>
    <xf numFmtId="0" fontId="37" fillId="8" borderId="0" xfId="0" applyFont="1" applyFill="1" applyAlignment="1" applyProtection="1">
      <alignment horizontal="center"/>
      <protection hidden="1"/>
    </xf>
    <xf numFmtId="0" fontId="37" fillId="8" borderId="0" xfId="0" applyFont="1" applyFill="1" applyAlignment="1" applyProtection="1">
      <alignment horizontal="center" wrapText="1"/>
      <protection hidden="1"/>
    </xf>
    <xf numFmtId="0" fontId="37" fillId="8" borderId="0" xfId="0" applyFont="1" applyFill="1" applyProtection="1">
      <protection hidden="1"/>
    </xf>
    <xf numFmtId="0" fontId="24" fillId="8" borderId="0" xfId="0" applyFont="1" applyFill="1" applyAlignment="1" applyProtection="1">
      <alignment vertical="center"/>
      <protection hidden="1"/>
    </xf>
    <xf numFmtId="0" fontId="24" fillId="8" borderId="0" xfId="0" applyFont="1" applyFill="1" applyAlignment="1" applyProtection="1">
      <alignment horizontal="center" vertical="center"/>
      <protection hidden="1"/>
    </xf>
    <xf numFmtId="0" fontId="24" fillId="8" borderId="0" xfId="0" applyFont="1" applyFill="1" applyAlignment="1" applyProtection="1">
      <alignment horizontal="center" wrapText="1"/>
      <protection hidden="1"/>
    </xf>
    <xf numFmtId="0" fontId="38" fillId="4" borderId="0" xfId="0" applyFont="1" applyFill="1" applyProtection="1">
      <protection hidden="1"/>
    </xf>
    <xf numFmtId="0" fontId="39" fillId="4" borderId="0" xfId="0" applyFont="1" applyFill="1" applyAlignment="1" applyProtection="1">
      <alignment horizontal="center"/>
      <protection hidden="1"/>
    </xf>
    <xf numFmtId="0" fontId="0" fillId="4" borderId="0" xfId="0" applyFill="1" applyAlignment="1" applyProtection="1">
      <alignment vertical="center"/>
      <protection hidden="1"/>
    </xf>
    <xf numFmtId="0" fontId="0" fillId="4" borderId="0" xfId="0" applyFill="1" applyAlignment="1" applyProtection="1">
      <alignment horizontal="center" vertical="center"/>
      <protection hidden="1"/>
    </xf>
    <xf numFmtId="0" fontId="1" fillId="4" borderId="0" xfId="0" applyFont="1" applyFill="1" applyProtection="1">
      <protection hidden="1"/>
    </xf>
    <xf numFmtId="0" fontId="0" fillId="4" borderId="0" xfId="0" applyFill="1" applyProtection="1">
      <protection hidden="1"/>
    </xf>
    <xf numFmtId="0" fontId="0" fillId="4" borderId="0" xfId="0" applyFill="1" applyAlignment="1" applyProtection="1">
      <alignment horizontal="center" wrapText="1"/>
      <protection hidden="1"/>
    </xf>
    <xf numFmtId="0" fontId="39" fillId="4" borderId="0" xfId="0" applyFont="1" applyFill="1" applyProtection="1">
      <protection hidden="1"/>
    </xf>
    <xf numFmtId="2" fontId="39" fillId="4" borderId="0" xfId="0" applyNumberFormat="1" applyFont="1" applyFill="1" applyAlignment="1" applyProtection="1">
      <alignment horizontal="center"/>
      <protection hidden="1"/>
    </xf>
    <xf numFmtId="0" fontId="0" fillId="4" borderId="0" xfId="0" applyFill="1" applyAlignment="1" applyProtection="1">
      <alignment horizontal="center"/>
      <protection hidden="1"/>
    </xf>
    <xf numFmtId="2" fontId="0" fillId="4" borderId="0" xfId="0" applyNumberFormat="1" applyFill="1" applyAlignment="1" applyProtection="1">
      <alignment horizontal="center"/>
      <protection hidden="1"/>
    </xf>
    <xf numFmtId="0" fontId="0" fillId="4" borderId="0" xfId="0" applyFill="1" applyAlignment="1" applyProtection="1">
      <alignment horizontal="left" wrapText="1"/>
      <protection hidden="1"/>
    </xf>
    <xf numFmtId="0" fontId="0" fillId="4" borderId="0" xfId="0" applyFill="1" applyAlignment="1" applyProtection="1">
      <alignment horizontal="left"/>
      <protection hidden="1"/>
    </xf>
    <xf numFmtId="0" fontId="70" fillId="4" borderId="0" xfId="0" applyFont="1" applyFill="1" applyProtection="1">
      <protection hidden="1"/>
    </xf>
    <xf numFmtId="0" fontId="5" fillId="4" borderId="0" xfId="0" applyFont="1" applyFill="1" applyProtection="1">
      <protection hidden="1"/>
    </xf>
    <xf numFmtId="169" fontId="0" fillId="4" borderId="0" xfId="0" applyNumberFormat="1" applyFill="1" applyAlignment="1" applyProtection="1">
      <alignment horizontal="center"/>
      <protection hidden="1"/>
    </xf>
    <xf numFmtId="0" fontId="5" fillId="4" borderId="0" xfId="0" applyFont="1" applyFill="1" applyAlignment="1" applyProtection="1">
      <alignment vertical="top"/>
      <protection hidden="1"/>
    </xf>
    <xf numFmtId="1" fontId="0" fillId="4" borderId="0" xfId="0" applyNumberFormat="1" applyFill="1" applyAlignment="1" applyProtection="1">
      <alignment horizontal="center"/>
      <protection hidden="1"/>
    </xf>
    <xf numFmtId="0" fontId="16" fillId="4" borderId="0" xfId="0" applyFont="1" applyFill="1" applyProtection="1">
      <protection hidden="1"/>
    </xf>
    <xf numFmtId="0" fontId="16" fillId="4" borderId="0" xfId="0" applyFont="1" applyFill="1" applyAlignment="1" applyProtection="1">
      <alignment horizontal="center"/>
      <protection hidden="1"/>
    </xf>
    <xf numFmtId="2" fontId="16" fillId="4" borderId="0" xfId="0" applyNumberFormat="1" applyFont="1" applyFill="1" applyAlignment="1" applyProtection="1">
      <alignment horizontal="center"/>
      <protection hidden="1"/>
    </xf>
    <xf numFmtId="0" fontId="57" fillId="4" borderId="0" xfId="0" applyFont="1" applyFill="1" applyProtection="1">
      <protection hidden="1"/>
    </xf>
    <xf numFmtId="169" fontId="39" fillId="4" borderId="0" xfId="0" applyNumberFormat="1" applyFont="1" applyFill="1" applyAlignment="1" applyProtection="1">
      <alignment horizontal="center"/>
      <protection hidden="1"/>
    </xf>
    <xf numFmtId="173" fontId="0" fillId="4" borderId="0" xfId="0" applyNumberFormat="1" applyFill="1" applyAlignment="1" applyProtection="1">
      <alignment horizontal="center"/>
      <protection hidden="1"/>
    </xf>
    <xf numFmtId="0" fontId="0" fillId="2" borderId="0" xfId="0" applyFill="1" applyAlignment="1" applyProtection="1">
      <alignment horizontal="center"/>
      <protection hidden="1"/>
    </xf>
    <xf numFmtId="2" fontId="0" fillId="2" borderId="0" xfId="0" applyNumberFormat="1" applyFill="1" applyAlignment="1" applyProtection="1">
      <alignment horizontal="center"/>
      <protection hidden="1"/>
    </xf>
    <xf numFmtId="0" fontId="0" fillId="2" borderId="0" xfId="0" applyFill="1" applyProtection="1">
      <protection hidden="1"/>
    </xf>
    <xf numFmtId="170" fontId="0" fillId="4" borderId="0" xfId="0" applyNumberFormat="1" applyFill="1" applyAlignment="1" applyProtection="1">
      <alignment horizontal="center"/>
      <protection hidden="1"/>
    </xf>
    <xf numFmtId="0" fontId="18" fillId="3" borderId="0" xfId="0" applyFont="1" applyFill="1" applyProtection="1">
      <protection hidden="1"/>
    </xf>
    <xf numFmtId="0" fontId="18" fillId="4" borderId="0" xfId="0" applyFont="1" applyFill="1" applyProtection="1">
      <protection hidden="1"/>
    </xf>
    <xf numFmtId="0" fontId="16" fillId="4" borderId="0" xfId="0" applyFont="1" applyFill="1" applyAlignment="1" applyProtection="1">
      <alignment horizontal="right" wrapText="1"/>
      <protection hidden="1"/>
    </xf>
    <xf numFmtId="0" fontId="15" fillId="10" borderId="0" xfId="0" applyFont="1" applyFill="1" applyAlignment="1">
      <alignment horizontal="center"/>
    </xf>
    <xf numFmtId="0" fontId="0" fillId="2" borderId="8" xfId="0"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11" borderId="10" xfId="0"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protection locked="0"/>
    </xf>
    <xf numFmtId="14" fontId="7" fillId="2" borderId="10" xfId="0" applyNumberFormat="1" applyFont="1" applyFill="1" applyBorder="1" applyAlignment="1" applyProtection="1">
      <alignment horizontal="center" vertical="center"/>
      <protection locked="0"/>
    </xf>
    <xf numFmtId="0" fontId="7" fillId="9" borderId="10" xfId="0" applyFont="1" applyFill="1" applyBorder="1" applyAlignment="1" applyProtection="1">
      <alignment horizontal="center" vertical="center"/>
      <protection locked="0"/>
    </xf>
    <xf numFmtId="0" fontId="75" fillId="10" borderId="0" xfId="0" applyFont="1" applyFill="1"/>
    <xf numFmtId="0" fontId="0" fillId="10" borderId="22" xfId="0" applyFill="1" applyBorder="1"/>
    <xf numFmtId="0" fontId="0" fillId="10" borderId="41" xfId="0" applyFill="1" applyBorder="1"/>
    <xf numFmtId="0" fontId="7" fillId="10" borderId="28" xfId="0" applyFont="1" applyFill="1" applyBorder="1"/>
    <xf numFmtId="0" fontId="7" fillId="10" borderId="27" xfId="0" applyFont="1" applyFill="1" applyBorder="1"/>
    <xf numFmtId="0" fontId="7" fillId="2" borderId="15" xfId="0" applyFont="1" applyFill="1" applyBorder="1" applyAlignment="1" applyProtection="1">
      <alignment horizontal="center" vertical="center" wrapText="1"/>
      <protection locked="0"/>
    </xf>
    <xf numFmtId="0" fontId="0" fillId="15" borderId="22" xfId="0" applyFill="1" applyBorder="1"/>
    <xf numFmtId="0" fontId="0" fillId="15" borderId="41" xfId="0" applyFill="1" applyBorder="1"/>
    <xf numFmtId="0" fontId="0" fillId="15" borderId="24" xfId="0" applyFill="1" applyBorder="1"/>
    <xf numFmtId="0" fontId="0" fillId="15" borderId="27" xfId="0" applyFill="1" applyBorder="1"/>
    <xf numFmtId="0" fontId="0" fillId="15" borderId="0" xfId="0" applyFill="1"/>
    <xf numFmtId="0" fontId="0" fillId="15" borderId="28" xfId="0" applyFill="1" applyBorder="1"/>
    <xf numFmtId="0" fontId="16" fillId="15" borderId="27" xfId="0" applyFont="1" applyFill="1" applyBorder="1"/>
    <xf numFmtId="0" fontId="16" fillId="15" borderId="0" xfId="0" applyFont="1" applyFill="1"/>
    <xf numFmtId="0" fontId="16" fillId="15" borderId="28" xfId="0" applyFont="1" applyFill="1" applyBorder="1"/>
    <xf numFmtId="0" fontId="16" fillId="15" borderId="29" xfId="0" applyFont="1" applyFill="1" applyBorder="1"/>
    <xf numFmtId="0" fontId="16" fillId="15" borderId="30" xfId="0" applyFont="1" applyFill="1" applyBorder="1"/>
    <xf numFmtId="0" fontId="16" fillId="15" borderId="31" xfId="0" applyFont="1" applyFill="1" applyBorder="1"/>
    <xf numFmtId="0" fontId="76" fillId="10" borderId="0" xfId="0" applyFont="1" applyFill="1"/>
    <xf numFmtId="3" fontId="72" fillId="10" borderId="0" xfId="0" applyNumberFormat="1" applyFont="1" applyFill="1" applyAlignment="1">
      <alignment horizontal="center"/>
    </xf>
    <xf numFmtId="0" fontId="78" fillId="10" borderId="0" xfId="0" applyFont="1" applyFill="1"/>
    <xf numFmtId="0" fontId="72" fillId="10" borderId="0" xfId="0" applyFont="1" applyFill="1" applyAlignment="1">
      <alignment horizontal="left" vertical="center"/>
    </xf>
    <xf numFmtId="0" fontId="0" fillId="10" borderId="24" xfId="0" applyFill="1" applyBorder="1"/>
    <xf numFmtId="0" fontId="16" fillId="10" borderId="29" xfId="0" applyFont="1" applyFill="1" applyBorder="1"/>
    <xf numFmtId="165" fontId="7" fillId="2" borderId="10" xfId="1" applyNumberFormat="1" applyFont="1" applyFill="1" applyBorder="1" applyAlignment="1" applyProtection="1">
      <alignment horizontal="center" vertical="center"/>
      <protection locked="0"/>
    </xf>
    <xf numFmtId="165" fontId="7" fillId="2" borderId="26" xfId="1" applyNumberFormat="1" applyFont="1" applyFill="1" applyBorder="1" applyAlignment="1" applyProtection="1">
      <alignment horizontal="center" vertical="center"/>
      <protection locked="0"/>
    </xf>
    <xf numFmtId="0" fontId="72" fillId="10" borderId="0" xfId="0" applyFont="1" applyFill="1" applyAlignment="1">
      <alignment horizontal="center"/>
    </xf>
    <xf numFmtId="1" fontId="0" fillId="20" borderId="0" xfId="0" applyNumberFormat="1" applyFill="1" applyAlignment="1" applyProtection="1">
      <alignment horizontal="center"/>
      <protection hidden="1"/>
    </xf>
    <xf numFmtId="2" fontId="0" fillId="20" borderId="0" xfId="0" applyNumberFormat="1" applyFill="1" applyAlignment="1" applyProtection="1">
      <alignment horizontal="center"/>
      <protection hidden="1"/>
    </xf>
    <xf numFmtId="0" fontId="0" fillId="20" borderId="0" xfId="0" applyFill="1" applyAlignment="1" applyProtection="1">
      <alignment horizontal="center"/>
      <protection hidden="1"/>
    </xf>
    <xf numFmtId="0" fontId="43" fillId="4" borderId="0" xfId="3" applyFill="1" applyProtection="1">
      <protection hidden="1"/>
    </xf>
    <xf numFmtId="0" fontId="7" fillId="2" borderId="26" xfId="0" applyFont="1" applyFill="1" applyBorder="1" applyAlignment="1" applyProtection="1">
      <alignment horizontal="center" vertical="center"/>
      <protection locked="0"/>
    </xf>
    <xf numFmtId="3" fontId="38" fillId="10" borderId="0" xfId="1" applyNumberFormat="1" applyFont="1" applyFill="1" applyBorder="1" applyAlignment="1">
      <alignment vertical="center"/>
    </xf>
    <xf numFmtId="0" fontId="1" fillId="11" borderId="0" xfId="0" applyFont="1" applyFill="1" applyAlignment="1">
      <alignment horizontal="center" vertical="center" wrapText="1"/>
    </xf>
    <xf numFmtId="174" fontId="0" fillId="3" borderId="0" xfId="0" applyNumberFormat="1" applyFill="1"/>
    <xf numFmtId="0" fontId="76" fillId="25" borderId="0" xfId="0" applyFont="1" applyFill="1"/>
    <xf numFmtId="0" fontId="75" fillId="25" borderId="0" xfId="0" applyFont="1" applyFill="1"/>
    <xf numFmtId="0" fontId="0" fillId="9" borderId="8" xfId="0" applyFill="1" applyBorder="1" applyAlignment="1">
      <alignment horizontal="center" vertical="center"/>
    </xf>
    <xf numFmtId="0" fontId="0" fillId="9" borderId="10" xfId="0" applyFill="1" applyBorder="1" applyAlignment="1">
      <alignment horizontal="center" vertical="center"/>
    </xf>
    <xf numFmtId="0" fontId="0" fillId="9" borderId="17" xfId="0" applyFill="1" applyBorder="1" applyAlignment="1">
      <alignment horizontal="center" vertical="center"/>
    </xf>
    <xf numFmtId="0" fontId="16" fillId="9" borderId="8" xfId="0" applyFont="1" applyFill="1" applyBorder="1" applyAlignment="1">
      <alignment horizontal="center" vertical="center"/>
    </xf>
    <xf numFmtId="0" fontId="1" fillId="11" borderId="4"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0" xfId="0" applyFont="1" applyFill="1" applyAlignment="1">
      <alignment horizontal="center" vertical="center" wrapText="1"/>
    </xf>
    <xf numFmtId="0" fontId="10" fillId="11" borderId="7" xfId="0" applyFont="1" applyFill="1" applyBorder="1" applyAlignment="1">
      <alignment horizontal="center" vertical="center" wrapText="1"/>
    </xf>
    <xf numFmtId="0" fontId="0" fillId="11" borderId="10" xfId="0" applyFill="1" applyBorder="1" applyAlignment="1">
      <alignment horizontal="center" vertical="center"/>
    </xf>
    <xf numFmtId="1" fontId="16" fillId="11" borderId="12" xfId="0" applyNumberFormat="1" applyFont="1" applyFill="1" applyBorder="1" applyAlignment="1">
      <alignment horizontal="center" vertical="center"/>
    </xf>
    <xf numFmtId="0" fontId="0" fillId="11" borderId="8" xfId="0" applyFill="1" applyBorder="1" applyAlignment="1">
      <alignment horizontal="center" vertical="center"/>
    </xf>
    <xf numFmtId="0" fontId="0" fillId="11" borderId="26" xfId="0" applyFill="1" applyBorder="1" applyAlignment="1">
      <alignment horizontal="center" vertical="center"/>
    </xf>
    <xf numFmtId="0" fontId="0" fillId="11" borderId="17" xfId="0" applyFill="1" applyBorder="1" applyAlignment="1">
      <alignment horizontal="center" vertical="center"/>
    </xf>
    <xf numFmtId="1" fontId="16" fillId="11" borderId="33" xfId="0" applyNumberFormat="1" applyFont="1" applyFill="1" applyBorder="1" applyAlignment="1">
      <alignment horizontal="center" vertical="center"/>
    </xf>
    <xf numFmtId="0" fontId="0" fillId="11" borderId="5" xfId="0" applyFill="1" applyBorder="1" applyAlignment="1">
      <alignment horizontal="center" vertical="center"/>
    </xf>
    <xf numFmtId="0" fontId="1" fillId="12" borderId="28" xfId="0" applyFont="1" applyFill="1" applyBorder="1" applyAlignment="1">
      <alignment horizontal="center" vertical="center" wrapText="1"/>
    </xf>
    <xf numFmtId="0" fontId="10" fillId="12" borderId="46" xfId="0" applyFont="1" applyFill="1" applyBorder="1" applyAlignment="1">
      <alignment horizontal="center" vertical="center" wrapText="1"/>
    </xf>
    <xf numFmtId="0" fontId="5" fillId="12" borderId="27" xfId="0" applyFont="1" applyFill="1" applyBorder="1" applyAlignment="1">
      <alignment horizontal="center" vertical="center"/>
    </xf>
    <xf numFmtId="0" fontId="5" fillId="12" borderId="4" xfId="0" applyFont="1" applyFill="1" applyBorder="1" applyAlignment="1">
      <alignment horizontal="center" vertical="center"/>
    </xf>
    <xf numFmtId="0" fontId="1" fillId="11" borderId="10" xfId="0" applyFont="1" applyFill="1" applyBorder="1" applyAlignment="1">
      <alignment horizontal="center" vertical="center"/>
    </xf>
    <xf numFmtId="0" fontId="1" fillId="2" borderId="10" xfId="0" applyFont="1" applyFill="1" applyBorder="1" applyAlignment="1">
      <alignment horizontal="center" vertical="center"/>
    </xf>
    <xf numFmtId="0" fontId="4" fillId="12" borderId="25" xfId="0" applyFont="1" applyFill="1" applyBorder="1" applyAlignment="1">
      <alignment vertical="center"/>
    </xf>
    <xf numFmtId="165" fontId="0" fillId="12" borderId="11" xfId="0" applyNumberFormat="1" applyFill="1" applyBorder="1" applyAlignment="1">
      <alignment horizontal="center" vertical="center"/>
    </xf>
    <xf numFmtId="165" fontId="0" fillId="12" borderId="10" xfId="0" applyNumberFormat="1" applyFill="1" applyBorder="1" applyAlignment="1">
      <alignment horizontal="center" vertical="center"/>
    </xf>
    <xf numFmtId="0" fontId="17" fillId="10" borderId="0" xfId="0" applyFont="1" applyFill="1" applyAlignment="1">
      <alignment horizontal="center" vertical="center"/>
    </xf>
    <xf numFmtId="0" fontId="0" fillId="10" borderId="0" xfId="0" applyFill="1" applyAlignment="1">
      <alignment horizontal="center" vertical="center" wrapText="1"/>
    </xf>
    <xf numFmtId="0" fontId="0" fillId="10" borderId="0" xfId="0" quotePrefix="1" applyFill="1" applyAlignment="1">
      <alignment horizontal="center" vertical="center"/>
    </xf>
    <xf numFmtId="1" fontId="16" fillId="10" borderId="0" xfId="0" applyNumberFormat="1" applyFont="1" applyFill="1" applyAlignment="1">
      <alignment horizontal="center" vertical="center"/>
    </xf>
    <xf numFmtId="165" fontId="0" fillId="10" borderId="0" xfId="0" applyNumberFormat="1" applyFill="1" applyAlignment="1">
      <alignment horizontal="center" vertical="center"/>
    </xf>
    <xf numFmtId="165" fontId="1" fillId="10" borderId="0" xfId="0" applyNumberFormat="1" applyFont="1" applyFill="1" applyAlignment="1">
      <alignment horizontal="center" vertical="center"/>
    </xf>
    <xf numFmtId="0" fontId="1" fillId="10" borderId="0" xfId="0" applyFont="1" applyFill="1" applyAlignment="1">
      <alignment vertical="center"/>
    </xf>
    <xf numFmtId="0" fontId="0" fillId="10" borderId="0" xfId="0" applyFill="1" applyAlignment="1">
      <alignment horizontal="center"/>
    </xf>
    <xf numFmtId="1" fontId="18" fillId="10" borderId="0" xfId="0" applyNumberFormat="1" applyFont="1" applyFill="1" applyAlignment="1">
      <alignment horizontal="center"/>
    </xf>
    <xf numFmtId="3" fontId="15" fillId="10" borderId="0" xfId="0" applyNumberFormat="1" applyFont="1" applyFill="1" applyAlignment="1">
      <alignment horizontal="center" vertical="center"/>
    </xf>
    <xf numFmtId="0" fontId="1" fillId="10" borderId="27" xfId="0" applyFont="1" applyFill="1" applyBorder="1" applyAlignment="1">
      <alignment vertical="center"/>
    </xf>
    <xf numFmtId="0" fontId="1" fillId="10" borderId="29" xfId="0" applyFont="1" applyFill="1" applyBorder="1" applyAlignment="1">
      <alignment vertical="center"/>
    </xf>
    <xf numFmtId="0" fontId="1" fillId="10" borderId="30" xfId="0" applyFont="1" applyFill="1" applyBorder="1" applyAlignment="1">
      <alignment vertical="center"/>
    </xf>
    <xf numFmtId="0" fontId="0" fillId="10" borderId="30" xfId="0" applyFill="1" applyBorder="1" applyAlignment="1">
      <alignment horizontal="center"/>
    </xf>
    <xf numFmtId="0" fontId="18" fillId="10" borderId="30" xfId="0" applyFont="1" applyFill="1" applyBorder="1"/>
    <xf numFmtId="0" fontId="21" fillId="10" borderId="0" xfId="0" applyFont="1" applyFill="1"/>
    <xf numFmtId="0" fontId="0" fillId="9" borderId="45" xfId="0" applyFill="1" applyBorder="1" applyAlignment="1">
      <alignment horizontal="center" vertical="center"/>
    </xf>
    <xf numFmtId="0" fontId="4" fillId="12" borderId="64" xfId="0" applyFont="1" applyFill="1" applyBorder="1" applyAlignment="1">
      <alignment vertical="center"/>
    </xf>
    <xf numFmtId="0" fontId="5" fillId="12" borderId="33" xfId="0" applyFont="1" applyFill="1" applyBorder="1" applyAlignment="1">
      <alignment horizontal="center" vertical="center"/>
    </xf>
    <xf numFmtId="0" fontId="0" fillId="10" borderId="27" xfId="0" applyFill="1" applyBorder="1" applyAlignment="1">
      <alignment horizontal="center"/>
    </xf>
    <xf numFmtId="0" fontId="0" fillId="10" borderId="29" xfId="0" applyFill="1" applyBorder="1" applyAlignment="1">
      <alignment horizontal="center"/>
    </xf>
    <xf numFmtId="0" fontId="18" fillId="10" borderId="31" xfId="0" applyFont="1" applyFill="1" applyBorder="1"/>
    <xf numFmtId="1" fontId="16" fillId="11" borderId="8" xfId="0" applyNumberFormat="1" applyFont="1" applyFill="1" applyBorder="1" applyAlignment="1">
      <alignment horizontal="center" vertical="center"/>
    </xf>
    <xf numFmtId="0" fontId="4" fillId="12" borderId="47" xfId="0" applyFont="1" applyFill="1" applyBorder="1" applyAlignment="1">
      <alignment horizontal="left" vertical="center"/>
    </xf>
    <xf numFmtId="0" fontId="0" fillId="11" borderId="11" xfId="0" applyFill="1" applyBorder="1"/>
    <xf numFmtId="0" fontId="0" fillId="11" borderId="12" xfId="0" applyFill="1" applyBorder="1"/>
    <xf numFmtId="165" fontId="0" fillId="12" borderId="9" xfId="0" applyNumberFormat="1" applyFill="1" applyBorder="1" applyAlignment="1">
      <alignment horizontal="center" vertical="center"/>
    </xf>
    <xf numFmtId="165" fontId="1" fillId="12" borderId="9" xfId="0" applyNumberFormat="1" applyFont="1" applyFill="1" applyBorder="1" applyAlignment="1">
      <alignment horizontal="center" vertical="center"/>
    </xf>
    <xf numFmtId="3" fontId="21" fillId="12" borderId="9" xfId="0" applyNumberFormat="1" applyFont="1" applyFill="1" applyBorder="1" applyAlignment="1">
      <alignment horizontal="center" vertical="center"/>
    </xf>
    <xf numFmtId="0" fontId="24" fillId="12" borderId="43" xfId="0" applyFont="1" applyFill="1" applyBorder="1"/>
    <xf numFmtId="0" fontId="24" fillId="12" borderId="2" xfId="0" applyFont="1" applyFill="1" applyBorder="1"/>
    <xf numFmtId="1" fontId="24" fillId="12" borderId="2" xfId="0" applyNumberFormat="1" applyFont="1" applyFill="1" applyBorder="1"/>
    <xf numFmtId="0" fontId="58" fillId="12" borderId="2" xfId="0" applyFont="1" applyFill="1" applyBorder="1" applyAlignment="1">
      <alignment horizontal="center" vertical="center" textRotation="90" wrapText="1"/>
    </xf>
    <xf numFmtId="0" fontId="24" fillId="12" borderId="29" xfId="0" applyFont="1" applyFill="1" applyBorder="1"/>
    <xf numFmtId="0" fontId="24" fillId="12" borderId="30" xfId="0" applyFont="1" applyFill="1" applyBorder="1"/>
    <xf numFmtId="1" fontId="24" fillId="12" borderId="30" xfId="0" applyNumberFormat="1" applyFont="1" applyFill="1" applyBorder="1"/>
    <xf numFmtId="0" fontId="58" fillId="12" borderId="30" xfId="0" applyFont="1" applyFill="1" applyBorder="1" applyAlignment="1">
      <alignment horizontal="center" vertical="center" textRotation="90" wrapText="1"/>
    </xf>
    <xf numFmtId="0" fontId="24" fillId="10" borderId="0" xfId="0" applyFont="1" applyFill="1" applyAlignment="1">
      <alignment vertical="top"/>
    </xf>
    <xf numFmtId="0" fontId="24" fillId="10" borderId="0" xfId="0" applyFont="1" applyFill="1"/>
    <xf numFmtId="0" fontId="58" fillId="10" borderId="0" xfId="0" applyFont="1" applyFill="1" applyAlignment="1">
      <alignment horizontal="center" vertical="center" textRotation="90" wrapText="1"/>
    </xf>
    <xf numFmtId="0" fontId="24" fillId="12" borderId="29" xfId="0" applyFont="1" applyFill="1" applyBorder="1" applyAlignment="1">
      <alignment vertical="top"/>
    </xf>
    <xf numFmtId="0" fontId="21" fillId="10" borderId="27" xfId="0" applyFont="1" applyFill="1" applyBorder="1"/>
    <xf numFmtId="0" fontId="0" fillId="10" borderId="29" xfId="0" applyFill="1" applyBorder="1"/>
    <xf numFmtId="0" fontId="27" fillId="12" borderId="22" xfId="0" applyFont="1" applyFill="1" applyBorder="1"/>
    <xf numFmtId="0" fontId="10" fillId="12" borderId="7" xfId="0" quotePrefix="1" applyFont="1" applyFill="1" applyBorder="1" applyAlignment="1">
      <alignment horizontal="center" vertical="center" wrapText="1"/>
    </xf>
    <xf numFmtId="0" fontId="18" fillId="12" borderId="28" xfId="0" applyFont="1" applyFill="1" applyBorder="1"/>
    <xf numFmtId="3" fontId="21" fillId="10" borderId="0" xfId="0" applyNumberFormat="1" applyFont="1" applyFill="1" applyAlignment="1">
      <alignment horizontal="center" vertical="center"/>
    </xf>
    <xf numFmtId="0" fontId="16" fillId="10" borderId="27" xfId="0" applyFont="1" applyFill="1" applyBorder="1" applyAlignment="1">
      <alignment horizontal="center"/>
    </xf>
    <xf numFmtId="0" fontId="16" fillId="10" borderId="28" xfId="0" applyFont="1" applyFill="1" applyBorder="1" applyAlignment="1">
      <alignment horizontal="center"/>
    </xf>
    <xf numFmtId="0" fontId="1" fillId="12" borderId="4" xfId="0" applyFont="1" applyFill="1" applyBorder="1" applyAlignment="1">
      <alignment horizontal="center" vertical="center" wrapText="1"/>
    </xf>
    <xf numFmtId="0" fontId="1" fillId="12" borderId="3"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0" fillId="12" borderId="6" xfId="0" applyFont="1" applyFill="1" applyBorder="1"/>
    <xf numFmtId="0" fontId="10" fillId="12" borderId="7" xfId="0" applyFont="1" applyFill="1" applyBorder="1"/>
    <xf numFmtId="165" fontId="0" fillId="10" borderId="5" xfId="0" applyNumberFormat="1" applyFill="1" applyBorder="1" applyAlignment="1">
      <alignment horizontal="center" vertical="center"/>
    </xf>
    <xf numFmtId="165" fontId="1" fillId="10" borderId="8" xfId="0" applyNumberFormat="1" applyFont="1" applyFill="1" applyBorder="1" applyAlignment="1">
      <alignment horizontal="center" vertical="center"/>
    </xf>
    <xf numFmtId="171" fontId="21" fillId="10" borderId="10" xfId="0" applyNumberFormat="1" applyFont="1" applyFill="1" applyBorder="1" applyAlignment="1">
      <alignment horizontal="center" vertical="center"/>
    </xf>
    <xf numFmtId="0" fontId="0" fillId="12" borderId="0" xfId="0" applyFill="1"/>
    <xf numFmtId="0" fontId="0" fillId="12" borderId="29" xfId="0" applyFill="1" applyBorder="1"/>
    <xf numFmtId="0" fontId="0" fillId="12" borderId="30" xfId="0" applyFill="1" applyBorder="1"/>
    <xf numFmtId="0" fontId="0" fillId="11" borderId="37" xfId="0" applyFill="1" applyBorder="1" applyAlignment="1">
      <alignment horizontal="center" vertical="center"/>
    </xf>
    <xf numFmtId="1" fontId="16" fillId="11" borderId="7" xfId="0" applyNumberFormat="1" applyFont="1" applyFill="1" applyBorder="1" applyAlignment="1">
      <alignment horizontal="center" vertical="center"/>
    </xf>
    <xf numFmtId="0" fontId="72" fillId="10" borderId="0" xfId="0" applyFont="1" applyFill="1" applyProtection="1">
      <protection hidden="1"/>
    </xf>
    <xf numFmtId="0" fontId="72" fillId="19" borderId="14" xfId="0" applyFont="1" applyFill="1" applyBorder="1" applyProtection="1">
      <protection hidden="1"/>
    </xf>
    <xf numFmtId="0" fontId="72" fillId="19" borderId="21" xfId="0" applyFont="1" applyFill="1" applyBorder="1" applyProtection="1">
      <protection hidden="1"/>
    </xf>
    <xf numFmtId="0" fontId="72" fillId="10" borderId="27" xfId="0" applyFont="1" applyFill="1" applyBorder="1" applyAlignment="1" applyProtection="1">
      <alignment horizontal="center"/>
      <protection hidden="1"/>
    </xf>
    <xf numFmtId="3" fontId="88" fillId="10" borderId="28" xfId="0" applyNumberFormat="1" applyFont="1" applyFill="1" applyBorder="1" applyAlignment="1" applyProtection="1">
      <alignment horizontal="center"/>
      <protection hidden="1"/>
    </xf>
    <xf numFmtId="0" fontId="72" fillId="10" borderId="28" xfId="0" applyFont="1" applyFill="1" applyBorder="1" applyProtection="1">
      <protection hidden="1"/>
    </xf>
    <xf numFmtId="0" fontId="78" fillId="10" borderId="28" xfId="0" applyFont="1" applyFill="1" applyBorder="1" applyProtection="1">
      <protection hidden="1"/>
    </xf>
    <xf numFmtId="165" fontId="72" fillId="10" borderId="27" xfId="0" applyNumberFormat="1" applyFont="1" applyFill="1" applyBorder="1" applyAlignment="1" applyProtection="1">
      <alignment horizontal="center"/>
      <protection hidden="1"/>
    </xf>
    <xf numFmtId="171" fontId="72" fillId="10" borderId="27" xfId="0" applyNumberFormat="1" applyFont="1" applyFill="1" applyBorder="1" applyProtection="1">
      <protection hidden="1"/>
    </xf>
    <xf numFmtId="0" fontId="72" fillId="10" borderId="29" xfId="0" applyFont="1" applyFill="1" applyBorder="1" applyAlignment="1" applyProtection="1">
      <alignment horizontal="center"/>
      <protection hidden="1"/>
    </xf>
    <xf numFmtId="0" fontId="72" fillId="10" borderId="31" xfId="0" applyFont="1" applyFill="1" applyBorder="1" applyProtection="1">
      <protection hidden="1"/>
    </xf>
    <xf numFmtId="0" fontId="72" fillId="10" borderId="0" xfId="0" applyFont="1" applyFill="1" applyAlignment="1" applyProtection="1">
      <alignment horizontal="center"/>
      <protection hidden="1"/>
    </xf>
    <xf numFmtId="3" fontId="72" fillId="10" borderId="0" xfId="0" applyNumberFormat="1" applyFont="1" applyFill="1" applyAlignment="1" applyProtection="1">
      <alignment horizontal="center"/>
      <protection hidden="1"/>
    </xf>
    <xf numFmtId="3" fontId="72" fillId="10" borderId="0" xfId="0" applyNumberFormat="1" applyFont="1" applyFill="1" applyProtection="1">
      <protection hidden="1"/>
    </xf>
    <xf numFmtId="171" fontId="72" fillId="10" borderId="29" xfId="0" applyNumberFormat="1" applyFont="1" applyFill="1" applyBorder="1" applyProtection="1">
      <protection hidden="1"/>
    </xf>
    <xf numFmtId="165" fontId="72" fillId="10" borderId="29" xfId="0" applyNumberFormat="1" applyFont="1" applyFill="1" applyBorder="1" applyAlignment="1" applyProtection="1">
      <alignment horizontal="center"/>
      <protection hidden="1"/>
    </xf>
    <xf numFmtId="171" fontId="72" fillId="10" borderId="0" xfId="0" applyNumberFormat="1" applyFont="1" applyFill="1" applyProtection="1">
      <protection hidden="1"/>
    </xf>
    <xf numFmtId="49" fontId="72" fillId="10" borderId="0" xfId="0" applyNumberFormat="1" applyFont="1" applyFill="1" applyProtection="1">
      <protection hidden="1"/>
    </xf>
    <xf numFmtId="3" fontId="88" fillId="10" borderId="0" xfId="0" applyNumberFormat="1" applyFont="1" applyFill="1" applyAlignment="1" applyProtection="1">
      <alignment horizontal="center"/>
      <protection hidden="1"/>
    </xf>
    <xf numFmtId="0" fontId="78" fillId="10" borderId="0" xfId="0" applyFont="1" applyFill="1" applyAlignment="1" applyProtection="1">
      <alignment horizontal="center"/>
      <protection hidden="1"/>
    </xf>
    <xf numFmtId="3" fontId="78" fillId="10" borderId="0" xfId="0" applyNumberFormat="1" applyFont="1" applyFill="1" applyAlignment="1" applyProtection="1">
      <alignment horizontal="center"/>
      <protection hidden="1"/>
    </xf>
    <xf numFmtId="0" fontId="78" fillId="10" borderId="0" xfId="0" applyFont="1" applyFill="1" applyAlignment="1">
      <alignment horizontal="center"/>
    </xf>
    <xf numFmtId="3" fontId="78" fillId="10" borderId="0" xfId="0" applyNumberFormat="1" applyFont="1" applyFill="1" applyAlignment="1">
      <alignment horizontal="center"/>
    </xf>
    <xf numFmtId="3" fontId="88" fillId="10" borderId="0" xfId="0" applyNumberFormat="1" applyFont="1" applyFill="1" applyAlignment="1">
      <alignment horizontal="center"/>
    </xf>
    <xf numFmtId="0" fontId="87" fillId="10" borderId="0" xfId="0" applyFont="1" applyFill="1" applyAlignment="1">
      <alignment horizontal="center"/>
    </xf>
    <xf numFmtId="3" fontId="87" fillId="10" borderId="0" xfId="0" applyNumberFormat="1" applyFont="1" applyFill="1" applyAlignment="1">
      <alignment horizontal="center" vertical="center"/>
    </xf>
    <xf numFmtId="0" fontId="87" fillId="10" borderId="0" xfId="0" applyFont="1" applyFill="1" applyAlignment="1">
      <alignment horizontal="right" vertical="center"/>
    </xf>
    <xf numFmtId="3" fontId="78" fillId="10" borderId="0" xfId="0" applyNumberFormat="1" applyFont="1" applyFill="1" applyAlignment="1">
      <alignment horizontal="center" vertical="center"/>
    </xf>
    <xf numFmtId="0" fontId="76" fillId="25" borderId="0" xfId="0" applyFont="1" applyFill="1" applyAlignment="1">
      <alignment horizontal="center"/>
    </xf>
    <xf numFmtId="0" fontId="76" fillId="10" borderId="0" xfId="0" applyFont="1" applyFill="1" applyAlignment="1">
      <alignment horizontal="center"/>
    </xf>
    <xf numFmtId="2" fontId="72" fillId="10" borderId="0" xfId="0" applyNumberFormat="1" applyFont="1" applyFill="1"/>
    <xf numFmtId="0" fontId="0" fillId="11" borderId="18" xfId="0" applyFill="1" applyBorder="1" applyAlignment="1">
      <alignment horizontal="center" vertical="center"/>
    </xf>
    <xf numFmtId="0" fontId="0" fillId="11" borderId="11" xfId="0" applyFill="1" applyBorder="1" applyAlignment="1">
      <alignment horizontal="center" vertical="center"/>
    </xf>
    <xf numFmtId="0" fontId="0" fillId="2" borderId="44" xfId="0" applyFill="1" applyBorder="1" applyAlignment="1" applyProtection="1">
      <alignment horizontal="center" vertical="center"/>
      <protection locked="0"/>
    </xf>
    <xf numFmtId="0" fontId="89" fillId="11" borderId="26" xfId="0" applyFont="1" applyFill="1" applyBorder="1" applyAlignment="1">
      <alignment horizontal="center" vertical="center"/>
    </xf>
    <xf numFmtId="1" fontId="17" fillId="12" borderId="11" xfId="0" applyNumberFormat="1" applyFont="1" applyFill="1" applyBorder="1" applyAlignment="1">
      <alignment horizontal="center" vertical="center"/>
    </xf>
    <xf numFmtId="1" fontId="17" fillId="12" borderId="17" xfId="0" applyNumberFormat="1" applyFont="1" applyFill="1" applyBorder="1" applyAlignment="1">
      <alignment horizontal="center" vertical="center"/>
    </xf>
    <xf numFmtId="1" fontId="17" fillId="12" borderId="10" xfId="0" applyNumberFormat="1" applyFont="1" applyFill="1" applyBorder="1" applyAlignment="1">
      <alignment horizontal="center" vertical="center"/>
    </xf>
    <xf numFmtId="0" fontId="17" fillId="12" borderId="10" xfId="0" applyFont="1" applyFill="1" applyBorder="1" applyAlignment="1">
      <alignment horizontal="center" vertical="center"/>
    </xf>
    <xf numFmtId="0" fontId="17" fillId="12" borderId="17" xfId="0" applyFont="1" applyFill="1" applyBorder="1" applyAlignment="1">
      <alignment horizontal="center" vertical="center"/>
    </xf>
    <xf numFmtId="1" fontId="17" fillId="12" borderId="45" xfId="0" applyNumberFormat="1" applyFont="1" applyFill="1" applyBorder="1" applyAlignment="1">
      <alignment horizontal="center" vertical="center"/>
    </xf>
    <xf numFmtId="0" fontId="17" fillId="12" borderId="3" xfId="0" applyFont="1" applyFill="1" applyBorder="1" applyAlignment="1">
      <alignment horizontal="center" vertical="center"/>
    </xf>
    <xf numFmtId="1" fontId="17" fillId="12" borderId="3" xfId="0" applyNumberFormat="1" applyFont="1" applyFill="1" applyBorder="1" applyAlignment="1">
      <alignment horizontal="center" vertical="center"/>
    </xf>
    <xf numFmtId="1" fontId="17" fillId="12" borderId="44" xfId="0" applyNumberFormat="1" applyFont="1" applyFill="1" applyBorder="1" applyAlignment="1">
      <alignment horizontal="center" vertical="center"/>
    </xf>
    <xf numFmtId="164" fontId="17" fillId="12" borderId="10" xfId="0" applyNumberFormat="1" applyFont="1" applyFill="1" applyBorder="1" applyAlignment="1">
      <alignment horizontal="center" vertical="center"/>
    </xf>
    <xf numFmtId="0" fontId="90" fillId="2" borderId="26" xfId="0" applyFont="1" applyFill="1" applyBorder="1" applyAlignment="1" applyProtection="1">
      <alignment horizontal="center" vertical="center"/>
      <protection locked="0"/>
    </xf>
    <xf numFmtId="0" fontId="0" fillId="11" borderId="44" xfId="0" applyFill="1" applyBorder="1" applyAlignment="1">
      <alignment horizontal="center" vertical="center"/>
    </xf>
    <xf numFmtId="0" fontId="90" fillId="11" borderId="26" xfId="0" applyFont="1" applyFill="1" applyBorder="1" applyAlignment="1">
      <alignment horizontal="center" vertical="center"/>
    </xf>
    <xf numFmtId="0" fontId="0" fillId="11" borderId="1" xfId="0" applyFill="1" applyBorder="1" applyAlignment="1">
      <alignment horizontal="center" vertical="center"/>
    </xf>
    <xf numFmtId="164" fontId="17" fillId="12" borderId="45" xfId="0" applyNumberFormat="1" applyFont="1" applyFill="1" applyBorder="1" applyAlignment="1">
      <alignment horizontal="center" vertical="center"/>
    </xf>
    <xf numFmtId="0" fontId="89" fillId="2" borderId="26" xfId="0" applyFont="1" applyFill="1" applyBorder="1" applyAlignment="1" applyProtection="1">
      <alignment horizontal="center" vertical="center"/>
      <protection locked="0"/>
    </xf>
    <xf numFmtId="0" fontId="1" fillId="13" borderId="0" xfId="0" applyFont="1" applyFill="1" applyAlignment="1">
      <alignment horizontal="center" vertical="center" wrapText="1"/>
    </xf>
    <xf numFmtId="0" fontId="1" fillId="13" borderId="10" xfId="0" applyFont="1" applyFill="1" applyBorder="1" applyAlignment="1">
      <alignment horizontal="center" vertical="center"/>
    </xf>
    <xf numFmtId="0" fontId="24" fillId="8" borderId="41" xfId="0" applyFont="1" applyFill="1" applyBorder="1"/>
    <xf numFmtId="0" fontId="24" fillId="8" borderId="24" xfId="0" applyFont="1" applyFill="1" applyBorder="1"/>
    <xf numFmtId="4" fontId="24" fillId="8" borderId="41" xfId="0" applyNumberFormat="1" applyFont="1" applyFill="1" applyBorder="1" applyAlignment="1">
      <alignment horizontal="center" vertical="center"/>
    </xf>
    <xf numFmtId="0" fontId="27" fillId="8" borderId="22" xfId="0" applyFont="1" applyFill="1" applyBorder="1" applyAlignment="1">
      <alignment horizontal="left"/>
    </xf>
    <xf numFmtId="0" fontId="0" fillId="8" borderId="31" xfId="0" applyFill="1" applyBorder="1"/>
    <xf numFmtId="0" fontId="0" fillId="8" borderId="30" xfId="0" applyFill="1" applyBorder="1"/>
    <xf numFmtId="0" fontId="26" fillId="8" borderId="41" xfId="0" applyFont="1" applyFill="1" applyBorder="1" applyAlignment="1">
      <alignment horizontal="left" vertical="top" wrapText="1"/>
    </xf>
    <xf numFmtId="0" fontId="26" fillId="8" borderId="41" xfId="0" applyFont="1" applyFill="1" applyBorder="1" applyAlignment="1">
      <alignment vertical="top" wrapText="1"/>
    </xf>
    <xf numFmtId="0" fontId="7" fillId="8" borderId="24" xfId="0" applyFont="1" applyFill="1" applyBorder="1" applyAlignment="1">
      <alignment horizontal="left" vertical="top" wrapText="1"/>
    </xf>
    <xf numFmtId="0" fontId="7" fillId="8" borderId="28" xfId="0" applyFont="1" applyFill="1" applyBorder="1"/>
    <xf numFmtId="0" fontId="7" fillId="8" borderId="41" xfId="0" applyFont="1" applyFill="1" applyBorder="1" applyAlignment="1">
      <alignment horizontal="left" vertical="top" wrapText="1"/>
    </xf>
    <xf numFmtId="0" fontId="62" fillId="8" borderId="19" xfId="0" applyFont="1" applyFill="1" applyBorder="1" applyAlignment="1" applyProtection="1">
      <alignment vertical="center"/>
      <protection locked="0"/>
    </xf>
    <xf numFmtId="0" fontId="62" fillId="8" borderId="19" xfId="0" applyFont="1" applyFill="1" applyBorder="1" applyAlignment="1" applyProtection="1">
      <alignment horizontal="left" vertical="center"/>
      <protection locked="0"/>
    </xf>
    <xf numFmtId="0" fontId="79" fillId="12" borderId="4" xfId="0" applyFont="1" applyFill="1" applyBorder="1"/>
    <xf numFmtId="0" fontId="4" fillId="12" borderId="27" xfId="0" applyFont="1" applyFill="1" applyBorder="1" applyAlignment="1">
      <alignment horizontal="center" vertical="center"/>
    </xf>
    <xf numFmtId="0" fontId="0" fillId="12" borderId="4" xfId="0" applyFill="1" applyBorder="1"/>
    <xf numFmtId="0" fontId="0" fillId="12" borderId="3" xfId="0" applyFill="1" applyBorder="1"/>
    <xf numFmtId="0" fontId="5" fillId="12" borderId="0" xfId="0" applyFont="1" applyFill="1" applyAlignment="1">
      <alignment vertical="center"/>
    </xf>
    <xf numFmtId="0" fontId="24" fillId="8" borderId="20" xfId="0" applyFont="1" applyFill="1" applyBorder="1" applyAlignment="1">
      <alignment vertical="center"/>
    </xf>
    <xf numFmtId="0" fontId="36" fillId="8" borderId="20" xfId="0" applyFont="1" applyFill="1" applyBorder="1" applyAlignment="1">
      <alignment vertical="center"/>
    </xf>
    <xf numFmtId="0" fontId="24" fillId="8" borderId="21" xfId="0" applyFont="1" applyFill="1" applyBorder="1" applyAlignment="1">
      <alignment vertical="center"/>
    </xf>
    <xf numFmtId="0" fontId="27" fillId="8" borderId="19" xfId="0" applyFont="1" applyFill="1" applyBorder="1" applyAlignment="1">
      <alignment horizontal="left" vertical="center"/>
    </xf>
    <xf numFmtId="0" fontId="24" fillId="8" borderId="20" xfId="0" applyFont="1" applyFill="1" applyBorder="1" applyAlignment="1">
      <alignment horizontal="left" vertical="center"/>
    </xf>
    <xf numFmtId="4" fontId="24" fillId="8" borderId="20" xfId="0" applyNumberFormat="1" applyFont="1" applyFill="1" applyBorder="1" applyAlignment="1">
      <alignment horizontal="left" vertical="center"/>
    </xf>
    <xf numFmtId="0" fontId="24" fillId="8" borderId="21" xfId="0" applyFont="1" applyFill="1" applyBorder="1" applyAlignment="1">
      <alignment horizontal="left" vertical="center"/>
    </xf>
    <xf numFmtId="0" fontId="74" fillId="8" borderId="20" xfId="0" applyFont="1" applyFill="1" applyBorder="1" applyAlignment="1">
      <alignment vertical="center"/>
    </xf>
    <xf numFmtId="0" fontId="27" fillId="8" borderId="20" xfId="0" applyFont="1" applyFill="1" applyBorder="1" applyAlignment="1">
      <alignment vertical="center"/>
    </xf>
    <xf numFmtId="0" fontId="1" fillId="13" borderId="4" xfId="0" applyFont="1" applyFill="1" applyBorder="1" applyAlignment="1">
      <alignment horizontal="center" vertical="center" wrapText="1"/>
    </xf>
    <xf numFmtId="0" fontId="1" fillId="13" borderId="10" xfId="0" applyFont="1" applyFill="1" applyBorder="1" applyAlignment="1" applyProtection="1">
      <alignment horizontal="center" vertical="center"/>
      <protection locked="0"/>
    </xf>
    <xf numFmtId="0" fontId="10" fillId="13" borderId="6" xfId="0" applyFont="1" applyFill="1" applyBorder="1" applyAlignment="1">
      <alignment horizontal="center" vertical="center" wrapText="1"/>
    </xf>
    <xf numFmtId="0" fontId="10" fillId="13" borderId="0" xfId="0" applyFont="1" applyFill="1" applyAlignment="1">
      <alignment horizontal="center" vertical="center" wrapText="1"/>
    </xf>
    <xf numFmtId="0" fontId="10" fillId="13" borderId="7" xfId="0" applyFont="1" applyFill="1" applyBorder="1" applyAlignment="1">
      <alignment horizontal="center" vertical="center" wrapText="1"/>
    </xf>
    <xf numFmtId="0" fontId="0" fillId="13" borderId="5" xfId="0" applyFill="1" applyBorder="1" applyAlignment="1">
      <alignment horizontal="center" vertical="center"/>
    </xf>
    <xf numFmtId="0" fontId="0" fillId="13" borderId="10" xfId="0" applyFill="1" applyBorder="1" applyAlignment="1">
      <alignment horizontal="center" vertical="center"/>
    </xf>
    <xf numFmtId="1" fontId="16" fillId="13" borderId="12" xfId="0" applyNumberFormat="1" applyFont="1" applyFill="1" applyBorder="1" applyAlignment="1">
      <alignment horizontal="center" vertical="center"/>
    </xf>
    <xf numFmtId="0" fontId="89" fillId="13" borderId="26" xfId="0" applyFont="1" applyFill="1" applyBorder="1" applyAlignment="1">
      <alignment horizontal="center" vertical="center"/>
    </xf>
    <xf numFmtId="0" fontId="0" fillId="13" borderId="8" xfId="0" applyFill="1" applyBorder="1" applyAlignment="1">
      <alignment horizontal="center" vertical="center"/>
    </xf>
    <xf numFmtId="0" fontId="0" fillId="13" borderId="18" xfId="0" applyFill="1" applyBorder="1" applyAlignment="1">
      <alignment horizontal="center" vertical="center"/>
    </xf>
    <xf numFmtId="0" fontId="0" fillId="13" borderId="17" xfId="0" applyFill="1" applyBorder="1" applyAlignment="1">
      <alignment horizontal="center" vertical="center"/>
    </xf>
    <xf numFmtId="1" fontId="16" fillId="13" borderId="33" xfId="0" applyNumberFormat="1" applyFont="1" applyFill="1" applyBorder="1" applyAlignment="1">
      <alignment horizontal="center" vertical="center"/>
    </xf>
    <xf numFmtId="0" fontId="90" fillId="13" borderId="26" xfId="0" applyFont="1" applyFill="1" applyBorder="1" applyAlignment="1">
      <alignment horizontal="center" vertical="center"/>
    </xf>
    <xf numFmtId="0" fontId="0" fillId="13" borderId="44" xfId="0" applyFill="1" applyBorder="1" applyAlignment="1">
      <alignment horizontal="center" vertical="center"/>
    </xf>
    <xf numFmtId="1" fontId="16" fillId="13" borderId="10" xfId="0" applyNumberFormat="1" applyFont="1" applyFill="1" applyBorder="1" applyAlignment="1">
      <alignment horizontal="center" vertical="center"/>
    </xf>
    <xf numFmtId="0" fontId="0" fillId="13" borderId="11" xfId="0" applyFill="1" applyBorder="1" applyAlignment="1">
      <alignment horizontal="center" vertical="center"/>
    </xf>
    <xf numFmtId="0" fontId="0" fillId="13" borderId="11" xfId="0" applyFill="1" applyBorder="1"/>
    <xf numFmtId="0" fontId="0" fillId="13" borderId="12" xfId="0" applyFill="1" applyBorder="1"/>
    <xf numFmtId="0" fontId="0" fillId="13" borderId="1" xfId="0" applyFill="1" applyBorder="1" applyAlignment="1">
      <alignment horizontal="center" vertical="center"/>
    </xf>
    <xf numFmtId="0" fontId="0" fillId="13" borderId="26" xfId="0" applyFill="1" applyBorder="1" applyAlignment="1">
      <alignment horizontal="center" vertical="center"/>
    </xf>
    <xf numFmtId="0" fontId="0" fillId="13" borderId="37" xfId="0" applyFill="1" applyBorder="1" applyAlignment="1">
      <alignment horizontal="center" vertical="center"/>
    </xf>
    <xf numFmtId="171" fontId="21" fillId="12" borderId="5" xfId="0" applyNumberFormat="1" applyFont="1" applyFill="1" applyBorder="1" applyAlignment="1">
      <alignment horizontal="center" vertical="center"/>
    </xf>
    <xf numFmtId="171" fontId="21" fillId="12" borderId="8" xfId="0" applyNumberFormat="1" applyFont="1" applyFill="1" applyBorder="1" applyAlignment="1">
      <alignment horizontal="center" vertical="center"/>
    </xf>
    <xf numFmtId="1" fontId="7" fillId="2" borderId="10" xfId="1" applyNumberFormat="1" applyFont="1" applyFill="1" applyBorder="1" applyAlignment="1" applyProtection="1">
      <alignment horizontal="center" vertical="center"/>
      <protection locked="0"/>
    </xf>
    <xf numFmtId="1" fontId="32" fillId="10" borderId="27" xfId="1" applyNumberFormat="1" applyFont="1" applyFill="1" applyBorder="1" applyAlignment="1">
      <alignment horizontal="center" vertical="top"/>
    </xf>
    <xf numFmtId="1" fontId="32" fillId="10" borderId="0" xfId="1" applyNumberFormat="1" applyFont="1" applyFill="1" applyBorder="1" applyAlignment="1">
      <alignment horizontal="center" vertical="top"/>
    </xf>
    <xf numFmtId="165" fontId="0" fillId="4" borderId="0" xfId="0" applyNumberFormat="1" applyFill="1" applyAlignment="1" applyProtection="1">
      <alignment horizontal="center"/>
      <protection hidden="1"/>
    </xf>
    <xf numFmtId="2" fontId="0" fillId="4" borderId="0" xfId="0" applyNumberFormat="1" applyFill="1" applyAlignment="1" applyProtection="1">
      <alignment horizontal="center" vertical="center"/>
      <protection hidden="1"/>
    </xf>
    <xf numFmtId="0" fontId="0" fillId="4" borderId="0" xfId="0" applyFill="1" applyAlignment="1" applyProtection="1">
      <alignment horizontal="right"/>
      <protection hidden="1"/>
    </xf>
    <xf numFmtId="0" fontId="91" fillId="3" borderId="0" xfId="0" applyFont="1" applyFill="1" applyProtection="1">
      <protection hidden="1"/>
    </xf>
    <xf numFmtId="0" fontId="92" fillId="4" borderId="0" xfId="3" applyFont="1" applyFill="1" applyProtection="1">
      <protection hidden="1"/>
    </xf>
    <xf numFmtId="2" fontId="18" fillId="3" borderId="0" xfId="0" applyNumberFormat="1" applyFont="1" applyFill="1" applyProtection="1">
      <protection hidden="1"/>
    </xf>
    <xf numFmtId="0" fontId="39" fillId="8" borderId="0" xfId="0" applyFont="1" applyFill="1" applyProtection="1">
      <protection hidden="1"/>
    </xf>
    <xf numFmtId="0" fontId="0" fillId="10" borderId="0" xfId="0" applyFill="1" applyProtection="1">
      <protection locked="0"/>
    </xf>
    <xf numFmtId="1" fontId="0" fillId="10" borderId="0" xfId="0" applyNumberFormat="1" applyFill="1" applyProtection="1">
      <protection locked="0"/>
    </xf>
    <xf numFmtId="0" fontId="10" fillId="10" borderId="0" xfId="0" applyFont="1" applyFill="1" applyAlignment="1" applyProtection="1">
      <alignment horizontal="center" vertical="center" textRotation="90" wrapText="1"/>
      <protection locked="0"/>
    </xf>
    <xf numFmtId="0" fontId="15" fillId="10" borderId="0" xfId="0" applyFont="1" applyFill="1" applyAlignment="1" applyProtection="1">
      <alignment horizontal="center" vertical="center"/>
      <protection locked="0"/>
    </xf>
    <xf numFmtId="0" fontId="15" fillId="10" borderId="0" xfId="0" applyFont="1" applyFill="1" applyAlignment="1" applyProtection="1">
      <alignment horizontal="center"/>
      <protection locked="0"/>
    </xf>
    <xf numFmtId="0" fontId="4" fillId="10" borderId="0" xfId="0" applyFont="1" applyFill="1" applyAlignment="1" applyProtection="1">
      <alignment horizontal="center" vertical="center"/>
      <protection locked="0"/>
    </xf>
    <xf numFmtId="0" fontId="4" fillId="10" borderId="0" xfId="0" applyFont="1" applyFill="1" applyAlignment="1" applyProtection="1">
      <alignment horizontal="center"/>
      <protection locked="0"/>
    </xf>
    <xf numFmtId="0" fontId="13" fillId="10" borderId="0" xfId="0" applyFont="1" applyFill="1" applyAlignment="1" applyProtection="1">
      <alignment horizontal="center" vertical="center"/>
      <protection locked="0"/>
    </xf>
    <xf numFmtId="0" fontId="1" fillId="10" borderId="0" xfId="0" applyFont="1" applyFill="1" applyAlignment="1" applyProtection="1">
      <alignment horizontal="left" vertical="center"/>
      <protection locked="0"/>
    </xf>
    <xf numFmtId="0" fontId="17" fillId="10" borderId="0" xfId="0" applyFont="1" applyFill="1" applyAlignment="1" applyProtection="1">
      <alignment horizontal="left" vertical="center"/>
      <protection locked="0"/>
    </xf>
    <xf numFmtId="0" fontId="1" fillId="10" borderId="0" xfId="0" applyFont="1" applyFill="1" applyAlignment="1" applyProtection="1">
      <alignment horizontal="center" vertical="center" wrapText="1"/>
      <protection locked="0"/>
    </xf>
    <xf numFmtId="0" fontId="0" fillId="10" borderId="0" xfId="0" applyFill="1" applyAlignment="1" applyProtection="1">
      <alignment horizontal="center" vertical="center"/>
      <protection locked="0"/>
    </xf>
    <xf numFmtId="0" fontId="1"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24" fillId="10" borderId="0" xfId="0" applyFont="1" applyFill="1" applyAlignment="1" applyProtection="1">
      <alignment vertical="top"/>
      <protection locked="0"/>
    </xf>
    <xf numFmtId="0" fontId="24" fillId="10" borderId="0" xfId="0" applyFont="1" applyFill="1" applyProtection="1">
      <protection locked="0"/>
    </xf>
    <xf numFmtId="0" fontId="18" fillId="10" borderId="0" xfId="0" applyFont="1" applyFill="1" applyProtection="1">
      <protection locked="0"/>
    </xf>
    <xf numFmtId="1" fontId="0" fillId="2" borderId="0" xfId="0" applyNumberFormat="1" applyFill="1" applyAlignment="1" applyProtection="1">
      <alignment horizontal="center"/>
      <protection hidden="1"/>
    </xf>
    <xf numFmtId="0" fontId="16" fillId="3" borderId="0" xfId="0" applyFont="1" applyFill="1" applyProtection="1">
      <protection hidden="1"/>
    </xf>
    <xf numFmtId="1" fontId="16" fillId="13" borderId="32" xfId="0" applyNumberFormat="1" applyFont="1" applyFill="1" applyBorder="1" applyAlignment="1">
      <alignment horizontal="center" vertical="center"/>
    </xf>
    <xf numFmtId="165" fontId="0" fillId="4" borderId="0" xfId="0" applyNumberFormat="1" applyFill="1" applyProtection="1">
      <protection hidden="1"/>
    </xf>
    <xf numFmtId="0" fontId="4" fillId="12" borderId="27" xfId="0" applyFont="1" applyFill="1" applyBorder="1" applyAlignment="1">
      <alignment vertical="center"/>
    </xf>
    <xf numFmtId="0" fontId="26" fillId="8" borderId="0" xfId="0" applyFont="1" applyFill="1"/>
    <xf numFmtId="0" fontId="7" fillId="8" borderId="0" xfId="0" applyFont="1" applyFill="1"/>
    <xf numFmtId="0" fontId="0" fillId="11" borderId="0" xfId="0" applyFill="1"/>
    <xf numFmtId="165" fontId="41" fillId="2" borderId="9" xfId="0" applyNumberFormat="1" applyFont="1" applyFill="1" applyBorder="1" applyAlignment="1" applyProtection="1">
      <alignment horizontal="left" vertical="center"/>
      <protection locked="0"/>
    </xf>
    <xf numFmtId="165" fontId="41" fillId="2" borderId="63" xfId="0" applyNumberFormat="1" applyFont="1" applyFill="1" applyBorder="1" applyAlignment="1" applyProtection="1">
      <alignment horizontal="left" vertical="center"/>
      <protection locked="0"/>
    </xf>
    <xf numFmtId="0" fontId="95" fillId="10" borderId="0" xfId="0" applyFont="1" applyFill="1"/>
    <xf numFmtId="0" fontId="96" fillId="4" borderId="0" xfId="0" applyFont="1" applyFill="1" applyAlignment="1">
      <alignment horizontal="right"/>
    </xf>
    <xf numFmtId="0" fontId="0" fillId="3" borderId="32" xfId="0" applyFill="1" applyBorder="1"/>
    <xf numFmtId="0" fontId="97" fillId="3" borderId="80" xfId="0" applyFont="1" applyFill="1" applyBorder="1" applyAlignment="1">
      <alignment vertical="center" wrapText="1"/>
    </xf>
    <xf numFmtId="0" fontId="97" fillId="3" borderId="17" xfId="0" applyFont="1" applyFill="1" applyBorder="1" applyAlignment="1">
      <alignment vertical="center" wrapText="1"/>
    </xf>
    <xf numFmtId="0" fontId="97" fillId="3" borderId="33" xfId="0" applyFont="1" applyFill="1" applyBorder="1" applyAlignment="1">
      <alignment vertical="center" wrapText="1"/>
    </xf>
    <xf numFmtId="0" fontId="98" fillId="3" borderId="84" xfId="0" applyFont="1" applyFill="1" applyBorder="1" applyAlignment="1">
      <alignment horizontal="right" vertical="center" wrapText="1"/>
    </xf>
    <xf numFmtId="0" fontId="97" fillId="3" borderId="79" xfId="0" applyFont="1" applyFill="1" applyBorder="1" applyAlignment="1">
      <alignment vertical="center" wrapText="1"/>
    </xf>
    <xf numFmtId="0" fontId="97" fillId="3" borderId="10" xfId="0" applyFont="1" applyFill="1" applyBorder="1" applyAlignment="1">
      <alignment vertical="center" wrapText="1"/>
    </xf>
    <xf numFmtId="0" fontId="97" fillId="3" borderId="12" xfId="0" applyFont="1" applyFill="1" applyBorder="1" applyAlignment="1">
      <alignment vertical="center" wrapText="1"/>
    </xf>
    <xf numFmtId="0" fontId="98" fillId="3" borderId="85" xfId="0" applyFont="1" applyFill="1" applyBorder="1" applyAlignment="1">
      <alignment horizontal="right" vertical="center" wrapText="1"/>
    </xf>
    <xf numFmtId="0" fontId="97" fillId="3" borderId="81" xfId="0" applyFont="1" applyFill="1" applyBorder="1" applyAlignment="1">
      <alignment vertical="center" wrapText="1"/>
    </xf>
    <xf numFmtId="0" fontId="97" fillId="3" borderId="8" xfId="0" applyFont="1" applyFill="1" applyBorder="1" applyAlignment="1">
      <alignment vertical="center" wrapText="1"/>
    </xf>
    <xf numFmtId="0" fontId="97" fillId="3" borderId="7" xfId="0" applyFont="1" applyFill="1" applyBorder="1" applyAlignment="1">
      <alignment vertical="center" wrapText="1"/>
    </xf>
    <xf numFmtId="0" fontId="98" fillId="3" borderId="86" xfId="0" applyFont="1" applyFill="1" applyBorder="1" applyAlignment="1">
      <alignment horizontal="right" vertical="center" wrapText="1"/>
    </xf>
    <xf numFmtId="0" fontId="98" fillId="3" borderId="87" xfId="0" applyFont="1" applyFill="1" applyBorder="1" applyAlignment="1">
      <alignment horizontal="center" vertical="center" wrapText="1"/>
    </xf>
    <xf numFmtId="0" fontId="98" fillId="3" borderId="88" xfId="0" applyFont="1" applyFill="1" applyBorder="1" applyAlignment="1">
      <alignment horizontal="center" vertical="center" wrapText="1"/>
    </xf>
    <xf numFmtId="0" fontId="98" fillId="3" borderId="89" xfId="0" applyFont="1" applyFill="1" applyBorder="1" applyAlignment="1">
      <alignment horizontal="center" vertical="center" wrapText="1"/>
    </xf>
    <xf numFmtId="0" fontId="98" fillId="3" borderId="78" xfId="0" applyFont="1" applyFill="1" applyBorder="1" applyAlignment="1">
      <alignment horizontal="center" vertical="center" wrapText="1"/>
    </xf>
    <xf numFmtId="0" fontId="64" fillId="3" borderId="0" xfId="0" applyFont="1" applyFill="1"/>
    <xf numFmtId="1" fontId="0" fillId="3" borderId="0" xfId="0" applyNumberFormat="1" applyFill="1"/>
    <xf numFmtId="2" fontId="0" fillId="3" borderId="0" xfId="0" applyNumberFormat="1" applyFill="1"/>
    <xf numFmtId="0" fontId="50" fillId="4" borderId="0" xfId="0" applyFont="1" applyFill="1"/>
    <xf numFmtId="0" fontId="64" fillId="8" borderId="0" xfId="0" applyFont="1" applyFill="1"/>
    <xf numFmtId="0" fontId="62" fillId="8" borderId="39" xfId="0" applyFont="1" applyFill="1" applyBorder="1" applyAlignment="1">
      <alignment horizontal="left" vertical="center"/>
    </xf>
    <xf numFmtId="0" fontId="24" fillId="8" borderId="23" xfId="0" applyFont="1" applyFill="1" applyBorder="1"/>
    <xf numFmtId="0" fontId="36" fillId="8" borderId="23" xfId="0" applyFont="1" applyFill="1" applyBorder="1"/>
    <xf numFmtId="0" fontId="27" fillId="8" borderId="23" xfId="0" applyFont="1" applyFill="1" applyBorder="1"/>
    <xf numFmtId="0" fontId="24" fillId="8" borderId="40" xfId="0" applyFont="1" applyFill="1" applyBorder="1"/>
    <xf numFmtId="0" fontId="10" fillId="12" borderId="27" xfId="0" applyFont="1" applyFill="1" applyBorder="1" applyAlignment="1">
      <alignment horizontal="left" vertical="center"/>
    </xf>
    <xf numFmtId="0" fontId="10" fillId="12" borderId="4" xfId="0" applyFont="1" applyFill="1" applyBorder="1" applyAlignment="1">
      <alignment horizontal="center" vertical="center" wrapText="1"/>
    </xf>
    <xf numFmtId="2" fontId="0" fillId="12" borderId="5" xfId="0" applyNumberFormat="1" applyFill="1" applyBorder="1" applyAlignment="1">
      <alignment horizontal="center" vertical="center"/>
    </xf>
    <xf numFmtId="2" fontId="0" fillId="12" borderId="8" xfId="0" applyNumberFormat="1" applyFill="1" applyBorder="1" applyAlignment="1">
      <alignment horizontal="center" vertical="center"/>
    </xf>
    <xf numFmtId="0" fontId="18" fillId="12" borderId="22" xfId="0" applyFont="1" applyFill="1" applyBorder="1"/>
    <xf numFmtId="0" fontId="16" fillId="12" borderId="24" xfId="0" applyFont="1" applyFill="1" applyBorder="1" applyAlignment="1">
      <alignment horizontal="center"/>
    </xf>
    <xf numFmtId="0" fontId="32" fillId="11" borderId="10" xfId="0" applyFont="1" applyFill="1" applyBorder="1" applyAlignment="1">
      <alignment horizontal="center" vertical="center"/>
    </xf>
    <xf numFmtId="0" fontId="0" fillId="11" borderId="10" xfId="0" applyFill="1" applyBorder="1" applyAlignment="1">
      <alignment vertical="center"/>
    </xf>
    <xf numFmtId="0" fontId="0" fillId="13" borderId="10" xfId="0" applyFill="1" applyBorder="1" applyAlignment="1">
      <alignment vertical="center"/>
    </xf>
    <xf numFmtId="0" fontId="31" fillId="8" borderId="23" xfId="0" applyFont="1" applyFill="1" applyBorder="1"/>
    <xf numFmtId="1" fontId="17" fillId="12" borderId="10" xfId="1" applyNumberFormat="1" applyFont="1" applyFill="1" applyBorder="1" applyAlignment="1">
      <alignment horizontal="center" vertical="center"/>
    </xf>
    <xf numFmtId="0" fontId="100" fillId="8" borderId="0" xfId="0" applyFont="1" applyFill="1" applyAlignment="1" applyProtection="1">
      <alignment horizontal="center" wrapText="1"/>
      <protection hidden="1"/>
    </xf>
    <xf numFmtId="0" fontId="1" fillId="11" borderId="9" xfId="0" applyFont="1" applyFill="1" applyBorder="1" applyAlignment="1">
      <alignment vertical="center"/>
    </xf>
    <xf numFmtId="0" fontId="1" fillId="11" borderId="12" xfId="0" applyFont="1" applyFill="1" applyBorder="1" applyAlignment="1">
      <alignment vertical="center"/>
    </xf>
    <xf numFmtId="0" fontId="16" fillId="11" borderId="10" xfId="0" applyFont="1" applyFill="1" applyBorder="1" applyAlignment="1">
      <alignment horizontal="center" vertical="center"/>
    </xf>
    <xf numFmtId="0" fontId="1" fillId="11" borderId="6" xfId="0" applyFont="1" applyFill="1" applyBorder="1" applyAlignment="1">
      <alignment vertical="center"/>
    </xf>
    <xf numFmtId="0" fontId="10" fillId="12" borderId="7" xfId="0" applyFont="1" applyFill="1" applyBorder="1" applyAlignment="1">
      <alignment horizontal="center" vertical="center"/>
    </xf>
    <xf numFmtId="0" fontId="10" fillId="12" borderId="12" xfId="0" applyFont="1" applyFill="1" applyBorder="1" applyAlignment="1">
      <alignment horizontal="center" vertical="center"/>
    </xf>
    <xf numFmtId="0" fontId="1" fillId="13" borderId="9" xfId="0" applyFont="1" applyFill="1" applyBorder="1" applyAlignment="1">
      <alignment vertical="center"/>
    </xf>
    <xf numFmtId="0" fontId="16" fillId="13" borderId="11" xfId="0" applyFont="1" applyFill="1" applyBorder="1" applyAlignment="1">
      <alignment horizontal="center" vertical="center"/>
    </xf>
    <xf numFmtId="0" fontId="32" fillId="13" borderId="11" xfId="0" applyFont="1" applyFill="1" applyBorder="1" applyAlignment="1">
      <alignment horizontal="center" vertical="center"/>
    </xf>
    <xf numFmtId="0" fontId="0" fillId="13" borderId="0" xfId="0" applyFill="1"/>
    <xf numFmtId="3" fontId="21" fillId="12" borderId="31" xfId="0" applyNumberFormat="1" applyFont="1" applyFill="1" applyBorder="1" applyAlignment="1">
      <alignment horizontal="center" vertical="center"/>
    </xf>
    <xf numFmtId="0" fontId="101" fillId="12" borderId="47" xfId="0" applyFont="1" applyFill="1" applyBorder="1" applyAlignment="1">
      <alignment vertical="center"/>
    </xf>
    <xf numFmtId="0" fontId="101" fillId="12" borderId="27" xfId="0" applyFont="1" applyFill="1" applyBorder="1" applyAlignment="1">
      <alignment vertical="center"/>
    </xf>
    <xf numFmtId="170" fontId="16" fillId="4" borderId="0" xfId="0" applyNumberFormat="1" applyFont="1" applyFill="1" applyProtection="1">
      <protection hidden="1"/>
    </xf>
    <xf numFmtId="1" fontId="16" fillId="11" borderId="32" xfId="0" applyNumberFormat="1" applyFont="1" applyFill="1" applyBorder="1" applyAlignment="1">
      <alignment horizontal="center" vertical="center"/>
    </xf>
    <xf numFmtId="170" fontId="0" fillId="3" borderId="0" xfId="0" applyNumberFormat="1" applyFill="1"/>
    <xf numFmtId="165" fontId="0" fillId="3" borderId="0" xfId="0" applyNumberFormat="1" applyFill="1"/>
    <xf numFmtId="0" fontId="1" fillId="13" borderId="0" xfId="0" applyFont="1" applyFill="1" applyAlignment="1">
      <alignment vertical="center" wrapText="1"/>
    </xf>
    <xf numFmtId="0" fontId="0" fillId="13" borderId="1" xfId="0" applyFill="1" applyBorder="1"/>
    <xf numFmtId="0" fontId="0" fillId="13" borderId="2" xfId="0" applyFill="1" applyBorder="1"/>
    <xf numFmtId="165" fontId="0" fillId="12" borderId="17" xfId="0" applyNumberFormat="1" applyFill="1" applyBorder="1" applyAlignment="1">
      <alignment horizontal="center" vertical="center"/>
    </xf>
    <xf numFmtId="0" fontId="101" fillId="12" borderId="64" xfId="0" applyFont="1" applyFill="1" applyBorder="1" applyAlignment="1">
      <alignment vertical="center"/>
    </xf>
    <xf numFmtId="176" fontId="17" fillId="12" borderId="17" xfId="0" applyNumberFormat="1" applyFont="1" applyFill="1" applyBorder="1" applyAlignment="1">
      <alignment horizontal="center" vertical="center"/>
    </xf>
    <xf numFmtId="0" fontId="0" fillId="11" borderId="18" xfId="0" applyFill="1" applyBorder="1" applyAlignment="1">
      <alignment vertical="center"/>
    </xf>
    <xf numFmtId="164" fontId="0" fillId="11" borderId="17" xfId="1" applyNumberFormat="1" applyFont="1" applyFill="1" applyBorder="1" applyAlignment="1" applyProtection="1">
      <alignment horizontal="center" vertical="center"/>
    </xf>
    <xf numFmtId="165" fontId="17" fillId="11" borderId="17" xfId="0" applyNumberFormat="1" applyFont="1" applyFill="1" applyBorder="1" applyAlignment="1">
      <alignment horizontal="center" vertical="center"/>
    </xf>
    <xf numFmtId="0" fontId="10" fillId="11" borderId="17" xfId="0" applyFont="1" applyFill="1" applyBorder="1" applyAlignment="1">
      <alignment horizontal="center" vertical="center"/>
    </xf>
    <xf numFmtId="0" fontId="0" fillId="13" borderId="18" xfId="0" applyFill="1" applyBorder="1" applyAlignment="1">
      <alignment vertical="center"/>
    </xf>
    <xf numFmtId="164" fontId="0" fillId="13" borderId="17" xfId="1" applyNumberFormat="1" applyFont="1" applyFill="1" applyBorder="1" applyAlignment="1" applyProtection="1">
      <alignment horizontal="center" vertical="center"/>
    </xf>
    <xf numFmtId="165" fontId="0" fillId="13" borderId="17" xfId="1" applyNumberFormat="1" applyFont="1" applyFill="1" applyBorder="1" applyAlignment="1" applyProtection="1">
      <alignment horizontal="center" vertical="center"/>
    </xf>
    <xf numFmtId="0" fontId="4" fillId="12" borderId="47" xfId="0" applyFont="1" applyFill="1" applyBorder="1" applyAlignment="1">
      <alignment vertical="center" wrapText="1"/>
    </xf>
    <xf numFmtId="2" fontId="76" fillId="10" borderId="0" xfId="0" applyNumberFormat="1" applyFont="1" applyFill="1"/>
    <xf numFmtId="164" fontId="76" fillId="10" borderId="0" xfId="0" applyNumberFormat="1" applyFont="1" applyFill="1"/>
    <xf numFmtId="0" fontId="88" fillId="10" borderId="0" xfId="0" applyFont="1" applyFill="1" applyAlignment="1">
      <alignment horizontal="center"/>
    </xf>
    <xf numFmtId="0" fontId="72" fillId="10" borderId="0" xfId="0" applyFont="1" applyFill="1" applyAlignment="1">
      <alignment horizontal="center" vertical="center"/>
    </xf>
    <xf numFmtId="165" fontId="72" fillId="10" borderId="0" xfId="0" applyNumberFormat="1" applyFont="1" applyFill="1" applyAlignment="1">
      <alignment horizontal="center" vertical="center"/>
    </xf>
    <xf numFmtId="0" fontId="88" fillId="10" borderId="0" xfId="0" applyFont="1" applyFill="1"/>
    <xf numFmtId="3" fontId="78" fillId="10" borderId="0" xfId="0" applyNumberFormat="1" applyFont="1" applyFill="1" applyAlignment="1">
      <alignment horizontal="center" vertical="center" textRotation="90" wrapText="1"/>
    </xf>
    <xf numFmtId="4" fontId="72" fillId="10" borderId="0" xfId="0" applyNumberFormat="1" applyFont="1" applyFill="1" applyAlignment="1">
      <alignment horizontal="center"/>
    </xf>
    <xf numFmtId="2" fontId="70" fillId="4" borderId="0" xfId="0" applyNumberFormat="1" applyFont="1" applyFill="1" applyAlignment="1">
      <alignment horizontal="center"/>
    </xf>
    <xf numFmtId="0" fontId="0" fillId="2" borderId="0" xfId="0" applyFill="1" applyAlignment="1" applyProtection="1">
      <alignment horizontal="center"/>
      <protection locked="0"/>
    </xf>
    <xf numFmtId="2" fontId="0" fillId="2" borderId="0" xfId="0" applyNumberFormat="1" applyFill="1" applyAlignment="1" applyProtection="1">
      <alignment horizontal="center"/>
      <protection locked="0"/>
    </xf>
    <xf numFmtId="1" fontId="0" fillId="2" borderId="0" xfId="0" applyNumberFormat="1" applyFill="1" applyAlignment="1" applyProtection="1">
      <alignment horizontal="center"/>
      <protection locked="0"/>
    </xf>
    <xf numFmtId="0" fontId="0" fillId="2" borderId="0" xfId="0" applyFill="1" applyProtection="1">
      <protection locked="0"/>
    </xf>
    <xf numFmtId="170" fontId="16" fillId="2" borderId="0" xfId="0" applyNumberFormat="1" applyFont="1" applyFill="1" applyProtection="1">
      <protection locked="0"/>
    </xf>
    <xf numFmtId="0" fontId="7" fillId="2" borderId="10" xfId="0" applyFont="1" applyFill="1" applyBorder="1" applyAlignment="1">
      <alignment horizontal="center" vertical="center"/>
    </xf>
    <xf numFmtId="0" fontId="41" fillId="10" borderId="0" xfId="0" applyFont="1" applyFill="1"/>
    <xf numFmtId="0" fontId="0" fillId="13" borderId="10" xfId="0" applyFill="1" applyBorder="1" applyAlignment="1" applyProtection="1">
      <alignment horizontal="center" vertical="center"/>
      <protection locked="0"/>
    </xf>
    <xf numFmtId="0" fontId="0" fillId="11" borderId="10" xfId="0" applyFill="1" applyBorder="1" applyAlignment="1" applyProtection="1">
      <alignment vertical="center"/>
      <protection locked="0"/>
    </xf>
    <xf numFmtId="0" fontId="0" fillId="11" borderId="10" xfId="0" applyFill="1" applyBorder="1" applyAlignment="1" applyProtection="1">
      <alignment horizontal="center" vertical="center"/>
      <protection locked="0"/>
    </xf>
    <xf numFmtId="165" fontId="76" fillId="10" borderId="0" xfId="0" applyNumberFormat="1" applyFont="1" applyFill="1"/>
    <xf numFmtId="0" fontId="72" fillId="10" borderId="0" xfId="0" applyFont="1" applyFill="1" applyAlignment="1" applyProtection="1">
      <alignment horizontal="left" vertical="center"/>
      <protection hidden="1"/>
    </xf>
    <xf numFmtId="3" fontId="72" fillId="10" borderId="0" xfId="0" applyNumberFormat="1" applyFont="1" applyFill="1" applyAlignment="1" applyProtection="1">
      <alignment horizontal="left" vertical="center"/>
      <protection hidden="1"/>
    </xf>
    <xf numFmtId="1" fontId="72" fillId="10" borderId="0" xfId="0" applyNumberFormat="1" applyFont="1" applyFill="1" applyAlignment="1" applyProtection="1">
      <alignment horizontal="center"/>
      <protection hidden="1"/>
    </xf>
    <xf numFmtId="9" fontId="0" fillId="0" borderId="0" xfId="4" applyFont="1"/>
    <xf numFmtId="9" fontId="17" fillId="2" borderId="10" xfId="4" applyFont="1" applyFill="1" applyBorder="1" applyAlignment="1" applyProtection="1">
      <alignment horizontal="center" vertical="center"/>
      <protection locked="0"/>
    </xf>
    <xf numFmtId="9" fontId="0" fillId="0" borderId="0" xfId="0" applyNumberFormat="1"/>
    <xf numFmtId="0" fontId="17" fillId="12" borderId="44" xfId="0" applyFont="1" applyFill="1" applyBorder="1" applyAlignment="1">
      <alignment horizontal="center" vertical="center"/>
    </xf>
    <xf numFmtId="0" fontId="17" fillId="12" borderId="8" xfId="0" applyFont="1" applyFill="1" applyBorder="1" applyAlignment="1">
      <alignment horizontal="center" vertical="center"/>
    </xf>
    <xf numFmtId="0" fontId="0" fillId="12" borderId="2" xfId="0" applyFill="1" applyBorder="1"/>
    <xf numFmtId="0" fontId="0" fillId="12" borderId="13" xfId="0" applyFill="1" applyBorder="1"/>
    <xf numFmtId="0" fontId="0" fillId="12" borderId="91" xfId="0" applyFill="1" applyBorder="1"/>
    <xf numFmtId="0" fontId="0" fillId="12" borderId="1" xfId="0" applyFill="1" applyBorder="1"/>
    <xf numFmtId="0" fontId="0" fillId="12" borderId="44" xfId="0" applyFill="1" applyBorder="1"/>
    <xf numFmtId="0" fontId="0" fillId="9" borderId="1" xfId="0" applyFill="1" applyBorder="1" applyAlignment="1" applyProtection="1">
      <alignment horizontal="center" vertical="center"/>
      <protection locked="0"/>
    </xf>
    <xf numFmtId="0" fontId="0" fillId="9" borderId="2"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1" fontId="16" fillId="11" borderId="13" xfId="0" applyNumberFormat="1" applyFont="1" applyFill="1" applyBorder="1" applyAlignment="1">
      <alignment horizontal="center" vertical="center"/>
    </xf>
    <xf numFmtId="1" fontId="16" fillId="13" borderId="13" xfId="0" applyNumberFormat="1" applyFont="1" applyFill="1" applyBorder="1" applyAlignment="1">
      <alignment horizontal="center" vertical="center"/>
    </xf>
    <xf numFmtId="165" fontId="0" fillId="12" borderId="3" xfId="0" applyNumberFormat="1" applyFill="1" applyBorder="1" applyAlignment="1">
      <alignment horizontal="center" vertical="center"/>
    </xf>
    <xf numFmtId="165" fontId="0" fillId="12" borderId="37" xfId="0" applyNumberFormat="1" applyFill="1" applyBorder="1" applyAlignment="1">
      <alignment horizontal="center" vertical="center"/>
    </xf>
    <xf numFmtId="9" fontId="7" fillId="2" borderId="10" xfId="4" applyFont="1" applyFill="1" applyBorder="1" applyAlignment="1" applyProtection="1">
      <alignment horizontal="center" vertical="center"/>
      <protection locked="0"/>
    </xf>
    <xf numFmtId="9" fontId="7" fillId="9" borderId="12" xfId="4" applyFont="1" applyFill="1" applyBorder="1" applyAlignment="1" applyProtection="1">
      <alignment horizontal="center" vertical="center"/>
      <protection locked="0"/>
    </xf>
    <xf numFmtId="1" fontId="103" fillId="12" borderId="42" xfId="0" applyNumberFormat="1" applyFont="1" applyFill="1" applyBorder="1" applyAlignment="1">
      <alignment horizontal="center" vertical="center"/>
    </xf>
    <xf numFmtId="9" fontId="17" fillId="9" borderId="10" xfId="4" applyFont="1" applyFill="1" applyBorder="1" applyAlignment="1" applyProtection="1">
      <alignment horizontal="center" vertical="center"/>
      <protection locked="0"/>
    </xf>
    <xf numFmtId="0" fontId="26" fillId="8" borderId="22" xfId="0" applyFont="1" applyFill="1" applyBorder="1" applyAlignment="1">
      <alignment horizontal="left" vertical="top" wrapText="1"/>
    </xf>
    <xf numFmtId="0" fontId="24" fillId="0" borderId="0" xfId="0" applyFont="1"/>
    <xf numFmtId="0" fontId="0" fillId="0" borderId="0" xfId="0" applyAlignment="1">
      <alignment horizontal="right"/>
    </xf>
    <xf numFmtId="0" fontId="0" fillId="0" borderId="0" xfId="0" applyAlignment="1">
      <alignment horizontal="left"/>
    </xf>
    <xf numFmtId="0" fontId="0" fillId="0" borderId="0" xfId="0" applyAlignment="1">
      <alignment horizontal="center" vertical="center"/>
    </xf>
    <xf numFmtId="0" fontId="0" fillId="0" borderId="65" xfId="0" applyBorder="1"/>
    <xf numFmtId="0" fontId="0" fillId="0" borderId="62" xfId="0" applyBorder="1"/>
    <xf numFmtId="0" fontId="0" fillId="0" borderId="55" xfId="0" applyBorder="1" applyAlignment="1">
      <alignment horizontal="right"/>
    </xf>
    <xf numFmtId="0" fontId="37" fillId="17" borderId="57" xfId="0" applyFont="1" applyFill="1" applyBorder="1"/>
    <xf numFmtId="0" fontId="77" fillId="0" borderId="0" xfId="0" applyFont="1"/>
    <xf numFmtId="0" fontId="0" fillId="0" borderId="41" xfId="0" applyBorder="1"/>
    <xf numFmtId="0" fontId="0" fillId="0" borderId="41" xfId="0" applyBorder="1" applyAlignment="1">
      <alignment horizontal="center" vertical="center"/>
    </xf>
    <xf numFmtId="0" fontId="0" fillId="0" borderId="41" xfId="0" applyBorder="1" applyAlignment="1">
      <alignment vertical="center"/>
    </xf>
    <xf numFmtId="0" fontId="0" fillId="0" borderId="24" xfId="0" applyBorder="1" applyAlignment="1">
      <alignment horizontal="center" vertical="center"/>
    </xf>
    <xf numFmtId="0" fontId="0" fillId="0" borderId="0" xfId="0" applyAlignment="1">
      <alignment vertical="center"/>
    </xf>
    <xf numFmtId="0" fontId="0" fillId="21" borderId="0" xfId="0" applyFill="1"/>
    <xf numFmtId="0" fontId="0" fillId="21" borderId="0" xfId="0" applyFill="1" applyAlignment="1">
      <alignment vertical="center"/>
    </xf>
    <xf numFmtId="0" fontId="41" fillId="21" borderId="28" xfId="0" applyFont="1" applyFill="1" applyBorder="1"/>
    <xf numFmtId="0" fontId="80" fillId="21" borderId="0" xfId="0" applyFont="1" applyFill="1" applyAlignment="1">
      <alignment vertical="center"/>
    </xf>
    <xf numFmtId="0" fontId="0" fillId="21" borderId="28" xfId="0" applyFill="1" applyBorder="1"/>
    <xf numFmtId="0" fontId="16" fillId="21" borderId="0" xfId="0" applyFont="1" applyFill="1"/>
    <xf numFmtId="0" fontId="0" fillId="21" borderId="30" xfId="0" applyFill="1" applyBorder="1"/>
    <xf numFmtId="0" fontId="80" fillId="21" borderId="30" xfId="0" applyFont="1" applyFill="1" applyBorder="1" applyAlignment="1">
      <alignment vertical="center"/>
    </xf>
    <xf numFmtId="0" fontId="0" fillId="21" borderId="31" xfId="0" applyFill="1" applyBorder="1"/>
    <xf numFmtId="0" fontId="0" fillId="0" borderId="22" xfId="0" applyBorder="1" applyAlignment="1">
      <alignment horizontal="center"/>
    </xf>
    <xf numFmtId="0" fontId="0" fillId="0" borderId="41" xfId="0" applyBorder="1" applyAlignment="1">
      <alignment horizontal="center"/>
    </xf>
    <xf numFmtId="0" fontId="37" fillId="17" borderId="68" xfId="0" applyFont="1" applyFill="1" applyBorder="1"/>
    <xf numFmtId="0" fontId="37" fillId="17" borderId="58" xfId="0" applyFont="1" applyFill="1" applyBorder="1"/>
    <xf numFmtId="0" fontId="37" fillId="17" borderId="59" xfId="0" applyFont="1" applyFill="1" applyBorder="1"/>
    <xf numFmtId="0" fontId="0" fillId="0" borderId="28" xfId="0" applyBorder="1" applyAlignment="1">
      <alignment horizontal="center" vertical="center"/>
    </xf>
    <xf numFmtId="0" fontId="0" fillId="21" borderId="0" xfId="0" applyFill="1" applyAlignment="1">
      <alignment horizontal="right"/>
    </xf>
    <xf numFmtId="0" fontId="41" fillId="21" borderId="0" xfId="0" applyFont="1" applyFill="1"/>
    <xf numFmtId="0" fontId="81" fillId="21" borderId="0" xfId="0" applyFont="1" applyFill="1"/>
    <xf numFmtId="0" fontId="41" fillId="21" borderId="31" xfId="0" applyFont="1" applyFill="1" applyBorder="1"/>
    <xf numFmtId="1" fontId="0" fillId="21" borderId="0" xfId="0" applyNumberFormat="1" applyFill="1"/>
    <xf numFmtId="0" fontId="84" fillId="21" borderId="0" xfId="0" applyFont="1" applyFill="1"/>
    <xf numFmtId="0" fontId="84" fillId="21" borderId="28" xfId="0" applyFont="1" applyFill="1" applyBorder="1"/>
    <xf numFmtId="0" fontId="85" fillId="21" borderId="28" xfId="3" applyFont="1" applyFill="1" applyBorder="1" applyProtection="1"/>
    <xf numFmtId="0" fontId="43" fillId="0" borderId="0" xfId="3" applyBorder="1" applyProtection="1"/>
    <xf numFmtId="0" fontId="43" fillId="21" borderId="0" xfId="3" applyFill="1" applyBorder="1" applyAlignment="1" applyProtection="1">
      <alignment vertical="center"/>
    </xf>
    <xf numFmtId="1" fontId="16" fillId="21" borderId="0" xfId="0" applyNumberFormat="1" applyFont="1" applyFill="1"/>
    <xf numFmtId="0" fontId="84" fillId="21" borderId="0" xfId="0" applyFont="1" applyFill="1" applyAlignment="1">
      <alignment vertical="center"/>
    </xf>
    <xf numFmtId="0" fontId="43" fillId="21" borderId="28" xfId="3" applyFill="1" applyBorder="1" applyProtection="1"/>
    <xf numFmtId="0" fontId="0" fillId="18" borderId="70" xfId="0" applyFill="1" applyBorder="1"/>
    <xf numFmtId="1" fontId="0" fillId="21" borderId="30" xfId="0" applyNumberFormat="1" applyFill="1" applyBorder="1"/>
    <xf numFmtId="0" fontId="0" fillId="22" borderId="67" xfId="0" applyFill="1" applyBorder="1"/>
    <xf numFmtId="0" fontId="43" fillId="21" borderId="30" xfId="3" applyFill="1" applyBorder="1" applyProtection="1"/>
    <xf numFmtId="0" fontId="43" fillId="21" borderId="31" xfId="3" applyFill="1" applyBorder="1" applyProtection="1"/>
    <xf numFmtId="0" fontId="37" fillId="17" borderId="76" xfId="0" applyFont="1" applyFill="1" applyBorder="1"/>
    <xf numFmtId="1" fontId="0" fillId="15" borderId="0" xfId="0" applyNumberFormat="1" applyFill="1"/>
    <xf numFmtId="0" fontId="0" fillId="18" borderId="66" xfId="0" applyFill="1" applyBorder="1"/>
    <xf numFmtId="0" fontId="0" fillId="18" borderId="56" xfId="0" applyFill="1" applyBorder="1"/>
    <xf numFmtId="0" fontId="86" fillId="21" borderId="0" xfId="0" applyFont="1" applyFill="1" applyAlignment="1">
      <alignment horizontal="left" vertical="center" wrapText="1"/>
    </xf>
    <xf numFmtId="0" fontId="0" fillId="21" borderId="56" xfId="0" applyFill="1" applyBorder="1"/>
    <xf numFmtId="0" fontId="0" fillId="21" borderId="30" xfId="0" quotePrefix="1" applyFill="1" applyBorder="1"/>
    <xf numFmtId="0" fontId="86" fillId="21" borderId="30" xfId="0" applyFont="1" applyFill="1" applyBorder="1" applyAlignment="1">
      <alignment horizontal="left" vertical="center" wrapText="1"/>
    </xf>
    <xf numFmtId="0" fontId="0" fillId="18" borderId="0" xfId="0" applyFill="1"/>
    <xf numFmtId="0" fontId="82" fillId="21" borderId="0" xfId="0" applyFont="1" applyFill="1" applyAlignment="1">
      <alignment horizontal="right"/>
    </xf>
    <xf numFmtId="0" fontId="84" fillId="21" borderId="0" xfId="0" applyFont="1" applyFill="1" applyAlignment="1">
      <alignment horizontal="left" wrapText="1"/>
    </xf>
    <xf numFmtId="0" fontId="7" fillId="21" borderId="28" xfId="0" applyFont="1" applyFill="1" applyBorder="1"/>
    <xf numFmtId="2" fontId="82" fillId="21" borderId="0" xfId="0" applyNumberFormat="1" applyFont="1" applyFill="1" applyAlignment="1">
      <alignment horizontal="right" vertical="top"/>
    </xf>
    <xf numFmtId="0" fontId="0" fillId="22" borderId="0" xfId="0" applyFill="1"/>
    <xf numFmtId="0" fontId="83" fillId="21" borderId="0" xfId="0" applyFont="1" applyFill="1" applyAlignment="1">
      <alignment horizontal="right" vertical="top"/>
    </xf>
    <xf numFmtId="0" fontId="41" fillId="23" borderId="0" xfId="0" applyFont="1" applyFill="1"/>
    <xf numFmtId="0" fontId="82" fillId="21" borderId="0" xfId="0" applyFont="1" applyFill="1" applyAlignment="1">
      <alignment horizontal="right" vertical="top"/>
    </xf>
    <xf numFmtId="0" fontId="82" fillId="23" borderId="0" xfId="0" applyFont="1" applyFill="1" applyAlignment="1">
      <alignment horizontal="right" vertical="top"/>
    </xf>
    <xf numFmtId="0" fontId="82" fillId="21" borderId="60" xfId="0" applyFont="1" applyFill="1" applyBorder="1" applyAlignment="1">
      <alignment horizontal="right" vertical="top"/>
    </xf>
    <xf numFmtId="0" fontId="43" fillId="21" borderId="0" xfId="3" applyFill="1" applyBorder="1" applyProtection="1"/>
    <xf numFmtId="0" fontId="0" fillId="22" borderId="55" xfId="0" applyFill="1" applyBorder="1"/>
    <xf numFmtId="0" fontId="0" fillId="22" borderId="30" xfId="0" applyFill="1" applyBorder="1"/>
    <xf numFmtId="0" fontId="41" fillId="21" borderId="30" xfId="0" applyFont="1" applyFill="1" applyBorder="1"/>
    <xf numFmtId="0" fontId="0" fillId="18" borderId="55" xfId="0" applyFill="1" applyBorder="1"/>
    <xf numFmtId="0" fontId="0" fillId="21" borderId="55" xfId="0" applyFill="1" applyBorder="1"/>
    <xf numFmtId="0" fontId="0" fillId="21" borderId="62" xfId="0" applyFill="1" applyBorder="1"/>
    <xf numFmtId="0" fontId="0" fillId="21" borderId="59" xfId="0" applyFill="1" applyBorder="1"/>
    <xf numFmtId="0" fontId="0" fillId="21" borderId="67" xfId="0" applyFill="1" applyBorder="1"/>
    <xf numFmtId="0" fontId="41" fillId="0" borderId="0" xfId="0" applyFont="1"/>
    <xf numFmtId="1" fontId="0" fillId="22" borderId="56" xfId="0" applyNumberFormat="1" applyFill="1" applyBorder="1"/>
    <xf numFmtId="1" fontId="0" fillId="21" borderId="56" xfId="0" applyNumberFormat="1" applyFill="1" applyBorder="1"/>
    <xf numFmtId="0" fontId="0" fillId="0" borderId="56" xfId="0" applyBorder="1"/>
    <xf numFmtId="0" fontId="0" fillId="0" borderId="66" xfId="0" applyBorder="1"/>
    <xf numFmtId="0" fontId="0" fillId="0" borderId="72" xfId="0" applyBorder="1"/>
    <xf numFmtId="1" fontId="0" fillId="21" borderId="61" xfId="0" applyNumberFormat="1" applyFill="1" applyBorder="1"/>
    <xf numFmtId="0" fontId="0" fillId="0" borderId="61" xfId="0" applyBorder="1"/>
    <xf numFmtId="0" fontId="0" fillId="18" borderId="27" xfId="0" applyFill="1" applyBorder="1"/>
    <xf numFmtId="1" fontId="0" fillId="21" borderId="58" xfId="0" applyNumberFormat="1" applyFill="1" applyBorder="1"/>
    <xf numFmtId="1" fontId="41" fillId="21" borderId="0" xfId="0" applyNumberFormat="1" applyFont="1" applyFill="1"/>
    <xf numFmtId="1" fontId="41" fillId="21" borderId="0" xfId="0" applyNumberFormat="1" applyFont="1" applyFill="1" applyAlignment="1">
      <alignment horizontal="right"/>
    </xf>
    <xf numFmtId="1" fontId="41" fillId="23" borderId="0" xfId="0" applyNumberFormat="1" applyFont="1" applyFill="1" applyAlignment="1">
      <alignment horizontal="right"/>
    </xf>
    <xf numFmtId="0" fontId="41" fillId="23" borderId="0" xfId="0" applyFont="1" applyFill="1" applyAlignment="1">
      <alignment horizontal="left"/>
    </xf>
    <xf numFmtId="1" fontId="0" fillId="21" borderId="0" xfId="0" applyNumberFormat="1" applyFill="1" applyAlignment="1">
      <alignment horizontal="right"/>
    </xf>
    <xf numFmtId="1" fontId="41" fillId="21" borderId="60" xfId="0" applyNumberFormat="1" applyFont="1" applyFill="1" applyBorder="1" applyAlignment="1">
      <alignment horizontal="right"/>
    </xf>
    <xf numFmtId="3" fontId="0" fillId="21" borderId="0" xfId="0" applyNumberFormat="1" applyFill="1"/>
    <xf numFmtId="3" fontId="0" fillId="21" borderId="0" xfId="0" applyNumberFormat="1" applyFill="1" applyAlignment="1">
      <alignment horizontal="right"/>
    </xf>
    <xf numFmtId="0" fontId="0" fillId="22" borderId="59" xfId="0" applyFill="1" applyBorder="1"/>
    <xf numFmtId="3" fontId="0" fillId="21" borderId="30" xfId="0" applyNumberFormat="1" applyFill="1" applyBorder="1"/>
    <xf numFmtId="0" fontId="0" fillId="22" borderId="30" xfId="0" quotePrefix="1" applyFill="1" applyBorder="1"/>
    <xf numFmtId="0" fontId="0" fillId="22" borderId="56" xfId="0" applyFill="1" applyBorder="1"/>
    <xf numFmtId="0" fontId="16" fillId="22" borderId="0" xfId="0" applyFont="1" applyFill="1"/>
    <xf numFmtId="0" fontId="0" fillId="22" borderId="58" xfId="0" applyFill="1" applyBorder="1"/>
    <xf numFmtId="0" fontId="16" fillId="22" borderId="71" xfId="0" applyFont="1" applyFill="1" applyBorder="1"/>
    <xf numFmtId="0" fontId="0" fillId="21" borderId="74" xfId="0" applyFill="1" applyBorder="1"/>
    <xf numFmtId="0" fontId="0" fillId="22" borderId="74" xfId="0" applyFill="1" applyBorder="1"/>
    <xf numFmtId="0" fontId="0" fillId="22" borderId="62" xfId="0" applyFill="1" applyBorder="1"/>
    <xf numFmtId="0" fontId="0" fillId="22" borderId="75" xfId="0" applyFill="1" applyBorder="1"/>
    <xf numFmtId="0" fontId="0" fillId="22" borderId="28" xfId="0" applyFill="1" applyBorder="1"/>
    <xf numFmtId="1" fontId="41" fillId="21" borderId="30" xfId="0" applyNumberFormat="1" applyFont="1" applyFill="1" applyBorder="1"/>
    <xf numFmtId="0" fontId="0" fillId="22" borderId="31" xfId="0" applyFill="1" applyBorder="1"/>
    <xf numFmtId="0" fontId="0" fillId="0" borderId="55" xfId="0" applyBorder="1"/>
    <xf numFmtId="1" fontId="0" fillId="22" borderId="61" xfId="0" applyNumberFormat="1" applyFill="1" applyBorder="1"/>
    <xf numFmtId="0" fontId="0" fillId="18" borderId="62" xfId="0" applyFill="1" applyBorder="1"/>
    <xf numFmtId="0" fontId="0" fillId="0" borderId="69" xfId="0" applyBorder="1"/>
    <xf numFmtId="0" fontId="0" fillId="21" borderId="75" xfId="0" applyFill="1" applyBorder="1"/>
    <xf numFmtId="1" fontId="0" fillId="22" borderId="0" xfId="0" applyNumberFormat="1" applyFill="1"/>
    <xf numFmtId="0" fontId="0" fillId="22" borderId="77" xfId="0" applyFill="1" applyBorder="1"/>
    <xf numFmtId="0" fontId="0" fillId="21" borderId="77" xfId="0" applyFill="1" applyBorder="1"/>
    <xf numFmtId="1" fontId="0" fillId="21" borderId="71" xfId="0" applyNumberFormat="1" applyFill="1" applyBorder="1"/>
    <xf numFmtId="0" fontId="0" fillId="22" borderId="73" xfId="0" applyFill="1" applyBorder="1"/>
    <xf numFmtId="0" fontId="0" fillId="21" borderId="71" xfId="0" applyFill="1" applyBorder="1"/>
    <xf numFmtId="0" fontId="7" fillId="21" borderId="31" xfId="0" applyFont="1" applyFill="1" applyBorder="1"/>
    <xf numFmtId="1" fontId="0" fillId="0" borderId="41" xfId="0" applyNumberFormat="1" applyBorder="1"/>
    <xf numFmtId="1" fontId="37" fillId="17" borderId="58" xfId="0" applyNumberFormat="1" applyFont="1" applyFill="1" applyBorder="1"/>
    <xf numFmtId="0" fontId="0" fillId="0" borderId="28" xfId="0" applyBorder="1" applyAlignment="1">
      <alignment horizontal="center"/>
    </xf>
    <xf numFmtId="0" fontId="0" fillId="18" borderId="41" xfId="0" applyFill="1" applyBorder="1"/>
    <xf numFmtId="0" fontId="37" fillId="17" borderId="27" xfId="0" applyFont="1" applyFill="1" applyBorder="1"/>
    <xf numFmtId="0" fontId="37" fillId="17" borderId="0" xfId="0" applyFont="1" applyFill="1"/>
    <xf numFmtId="0" fontId="16" fillId="24" borderId="0" xfId="0" applyFont="1" applyFill="1"/>
    <xf numFmtId="0" fontId="16" fillId="24" borderId="30" xfId="0" applyFont="1" applyFill="1" applyBorder="1"/>
    <xf numFmtId="0" fontId="0" fillId="18" borderId="54" xfId="0" applyFill="1" applyBorder="1"/>
    <xf numFmtId="0" fontId="0" fillId="0" borderId="54" xfId="0" applyBorder="1"/>
    <xf numFmtId="3" fontId="34" fillId="10" borderId="0" xfId="0" applyNumberFormat="1" applyFont="1" applyFill="1"/>
    <xf numFmtId="2" fontId="34" fillId="10" borderId="0" xfId="0" applyNumberFormat="1" applyFont="1" applyFill="1"/>
    <xf numFmtId="3" fontId="34" fillId="10" borderId="0" xfId="0" applyNumberFormat="1" applyFont="1" applyFill="1" applyAlignment="1">
      <alignment horizontal="center"/>
    </xf>
    <xf numFmtId="2" fontId="0" fillId="12" borderId="11" xfId="0" applyNumberFormat="1" applyFill="1" applyBorder="1" applyAlignment="1">
      <alignment horizontal="center" vertical="center"/>
    </xf>
    <xf numFmtId="2" fontId="0" fillId="12" borderId="44" xfId="0" applyNumberFormat="1" applyFill="1" applyBorder="1" applyAlignment="1">
      <alignment horizontal="center" vertical="center"/>
    </xf>
    <xf numFmtId="2" fontId="0" fillId="12" borderId="45" xfId="0" applyNumberFormat="1" applyFill="1" applyBorder="1" applyAlignment="1">
      <alignment horizontal="center" vertical="center"/>
    </xf>
    <xf numFmtId="2" fontId="0" fillId="12" borderId="10" xfId="0" applyNumberFormat="1" applyFill="1" applyBorder="1" applyAlignment="1">
      <alignment horizontal="center" vertical="center"/>
    </xf>
    <xf numFmtId="0" fontId="1" fillId="4" borderId="0" xfId="0" applyFont="1" applyFill="1" applyAlignment="1">
      <alignment horizontal="center" vertical="center" wrapText="1"/>
    </xf>
    <xf numFmtId="0" fontId="28" fillId="0" borderId="0" xfId="0" applyFont="1"/>
    <xf numFmtId="0" fontId="67" fillId="0" borderId="0" xfId="0" applyFont="1" applyAlignment="1">
      <alignment vertical="center"/>
    </xf>
    <xf numFmtId="0" fontId="68" fillId="0" borderId="0" xfId="0" applyFont="1" applyAlignment="1">
      <alignment vertical="center"/>
    </xf>
    <xf numFmtId="0" fontId="67" fillId="0" borderId="0" xfId="0" applyFont="1" applyAlignment="1">
      <alignment vertical="center" wrapText="1"/>
    </xf>
    <xf numFmtId="0" fontId="16" fillId="0" borderId="0" xfId="2" applyFont="1" applyFill="1" applyProtection="1"/>
    <xf numFmtId="4" fontId="16" fillId="0" borderId="0" xfId="2" applyNumberFormat="1" applyFont="1" applyFill="1" applyProtection="1"/>
    <xf numFmtId="3" fontId="16" fillId="0" borderId="0" xfId="2" applyNumberFormat="1" applyFont="1" applyFill="1" applyProtection="1"/>
    <xf numFmtId="2" fontId="0" fillId="0" borderId="0" xfId="0" applyNumberFormat="1"/>
    <xf numFmtId="0" fontId="16" fillId="4" borderId="3" xfId="2" applyFont="1" applyFill="1" applyBorder="1" applyProtection="1"/>
    <xf numFmtId="0" fontId="16" fillId="4" borderId="4" xfId="2" applyFont="1" applyFill="1" applyBorder="1" applyProtection="1"/>
    <xf numFmtId="0" fontId="16" fillId="4" borderId="0" xfId="2" applyFont="1" applyFill="1" applyBorder="1" applyProtection="1"/>
    <xf numFmtId="166" fontId="16" fillId="5" borderId="3" xfId="2" applyNumberFormat="1" applyFont="1" applyFill="1" applyBorder="1" applyProtection="1"/>
    <xf numFmtId="166" fontId="16" fillId="5" borderId="37" xfId="2" applyNumberFormat="1" applyFont="1" applyFill="1" applyBorder="1" applyProtection="1"/>
    <xf numFmtId="3" fontId="16" fillId="5" borderId="3" xfId="2" applyNumberFormat="1" applyFont="1" applyFill="1" applyBorder="1" applyProtection="1"/>
    <xf numFmtId="3" fontId="16" fillId="5" borderId="4" xfId="2" applyNumberFormat="1" applyFont="1" applyFill="1" applyBorder="1" applyProtection="1"/>
    <xf numFmtId="3" fontId="0" fillId="5" borderId="3" xfId="0" applyNumberFormat="1" applyFill="1" applyBorder="1"/>
    <xf numFmtId="4" fontId="0" fillId="5" borderId="3" xfId="0" applyNumberFormat="1" applyFill="1" applyBorder="1" applyAlignment="1">
      <alignment horizontal="center"/>
    </xf>
    <xf numFmtId="172" fontId="0" fillId="0" borderId="0" xfId="0" applyNumberFormat="1"/>
    <xf numFmtId="4" fontId="16" fillId="5" borderId="4" xfId="2" applyNumberFormat="1" applyFont="1" applyFill="1" applyBorder="1" applyProtection="1"/>
    <xf numFmtId="166" fontId="16" fillId="0" borderId="3" xfId="2" applyNumberFormat="1" applyFont="1" applyFill="1" applyBorder="1" applyProtection="1"/>
    <xf numFmtId="4" fontId="16" fillId="0" borderId="4" xfId="2" applyNumberFormat="1" applyFont="1" applyFill="1" applyBorder="1" applyProtection="1"/>
    <xf numFmtId="3" fontId="16" fillId="0" borderId="3" xfId="2" applyNumberFormat="1" applyFont="1" applyFill="1" applyBorder="1" applyProtection="1"/>
    <xf numFmtId="3" fontId="16" fillId="0" borderId="4" xfId="2" applyNumberFormat="1" applyFont="1" applyFill="1" applyBorder="1" applyProtection="1"/>
    <xf numFmtId="3" fontId="0" fillId="0" borderId="3" xfId="0" applyNumberFormat="1" applyBorder="1"/>
    <xf numFmtId="3" fontId="0" fillId="0" borderId="0" xfId="0" applyNumberFormat="1"/>
    <xf numFmtId="3" fontId="0" fillId="0" borderId="3" xfId="0" applyNumberFormat="1" applyBorder="1" applyAlignment="1">
      <alignment horizontal="center"/>
    </xf>
    <xf numFmtId="3" fontId="0" fillId="0" borderId="4" xfId="0" applyNumberFormat="1" applyBorder="1" applyAlignment="1">
      <alignment horizontal="center"/>
    </xf>
    <xf numFmtId="166" fontId="16" fillId="0" borderId="5" xfId="2" applyNumberFormat="1" applyFont="1" applyFill="1" applyBorder="1" applyProtection="1"/>
    <xf numFmtId="4" fontId="16" fillId="0" borderId="7" xfId="2" applyNumberFormat="1" applyFont="1" applyFill="1" applyBorder="1" applyProtection="1"/>
    <xf numFmtId="3" fontId="16" fillId="0" borderId="5" xfId="2" applyNumberFormat="1" applyFont="1" applyFill="1" applyBorder="1" applyProtection="1"/>
    <xf numFmtId="3" fontId="16" fillId="0" borderId="7" xfId="2" applyNumberFormat="1" applyFont="1" applyFill="1" applyBorder="1" applyProtection="1"/>
    <xf numFmtId="3" fontId="0" fillId="0" borderId="5" xfId="0" applyNumberFormat="1" applyBorder="1"/>
    <xf numFmtId="3" fontId="0" fillId="0" borderId="6" xfId="0" applyNumberFormat="1" applyBorder="1"/>
    <xf numFmtId="3" fontId="0" fillId="0" borderId="5" xfId="0" applyNumberFormat="1" applyBorder="1" applyAlignment="1">
      <alignment horizontal="center"/>
    </xf>
    <xf numFmtId="3" fontId="0" fillId="0" borderId="7" xfId="0" applyNumberFormat="1" applyBorder="1" applyAlignment="1">
      <alignment horizontal="center"/>
    </xf>
    <xf numFmtId="166" fontId="16" fillId="0" borderId="0" xfId="2" applyNumberFormat="1" applyFont="1" applyFill="1" applyProtection="1"/>
    <xf numFmtId="0" fontId="0" fillId="7" borderId="0" xfId="0" applyFill="1"/>
    <xf numFmtId="168" fontId="0" fillId="0" borderId="0" xfId="0" applyNumberFormat="1"/>
    <xf numFmtId="0" fontId="1" fillId="0" borderId="0" xfId="0" applyFont="1" applyAlignment="1">
      <alignment horizontal="center"/>
    </xf>
    <xf numFmtId="0" fontId="29" fillId="0" borderId="0" xfId="0" applyFont="1" applyAlignment="1">
      <alignment horizontal="center"/>
    </xf>
    <xf numFmtId="0" fontId="33" fillId="0" borderId="0" xfId="0" applyFont="1"/>
    <xf numFmtId="0" fontId="28" fillId="0" borderId="0" xfId="0" applyFont="1" applyAlignment="1">
      <alignment horizontal="center"/>
    </xf>
    <xf numFmtId="167" fontId="0" fillId="0" borderId="0" xfId="0" applyNumberFormat="1"/>
    <xf numFmtId="169" fontId="0" fillId="0" borderId="0" xfId="0" applyNumberFormat="1"/>
    <xf numFmtId="1" fontId="33" fillId="0" borderId="0" xfId="0" applyNumberFormat="1" applyFont="1"/>
    <xf numFmtId="0" fontId="57" fillId="0" borderId="0" xfId="0" applyFont="1"/>
    <xf numFmtId="0" fontId="43" fillId="0" borderId="0" xfId="3" applyProtection="1"/>
    <xf numFmtId="0" fontId="7" fillId="9" borderId="10" xfId="0" applyFont="1" applyFill="1" applyBorder="1" applyAlignment="1" applyProtection="1">
      <alignment vertical="center"/>
      <protection locked="0"/>
    </xf>
    <xf numFmtId="0" fontId="5" fillId="11" borderId="83" xfId="0" applyFont="1" applyFill="1" applyBorder="1" applyAlignment="1">
      <alignment horizontal="center" vertical="center"/>
    </xf>
    <xf numFmtId="0" fontId="5" fillId="11" borderId="41" xfId="0" applyFont="1" applyFill="1" applyBorder="1" applyAlignment="1">
      <alignment horizontal="center" vertical="center"/>
    </xf>
    <xf numFmtId="0" fontId="5" fillId="11" borderId="82" xfId="0" applyFont="1" applyFill="1" applyBorder="1" applyAlignment="1">
      <alignment horizontal="center" vertical="center"/>
    </xf>
    <xf numFmtId="0" fontId="5" fillId="13" borderId="83" xfId="0" applyFont="1" applyFill="1" applyBorder="1" applyAlignment="1">
      <alignment horizontal="center" vertical="center"/>
    </xf>
    <xf numFmtId="0" fontId="5" fillId="13" borderId="41" xfId="0" applyFont="1" applyFill="1" applyBorder="1" applyAlignment="1">
      <alignment horizontal="center" vertical="center"/>
    </xf>
    <xf numFmtId="0" fontId="5" fillId="13" borderId="82" xfId="0" applyFont="1" applyFill="1" applyBorder="1" applyAlignment="1">
      <alignment horizontal="center" vertical="center"/>
    </xf>
    <xf numFmtId="0" fontId="5" fillId="12" borderId="0" xfId="0" applyFont="1" applyFill="1" applyAlignment="1">
      <alignment horizontal="center" vertical="center"/>
    </xf>
    <xf numFmtId="171" fontId="21" fillId="12" borderId="3" xfId="0" applyNumberFormat="1" applyFont="1" applyFill="1" applyBorder="1" applyAlignment="1">
      <alignment horizontal="center" vertical="center"/>
    </xf>
    <xf numFmtId="171" fontId="21" fillId="12" borderId="44" xfId="0" applyNumberFormat="1" applyFont="1" applyFill="1" applyBorder="1" applyAlignment="1">
      <alignment horizontal="center" vertical="center"/>
    </xf>
    <xf numFmtId="171" fontId="21" fillId="12" borderId="1" xfId="0" applyNumberFormat="1" applyFont="1" applyFill="1" applyBorder="1" applyAlignment="1">
      <alignment horizontal="center" vertical="center"/>
    </xf>
    <xf numFmtId="0" fontId="5" fillId="12" borderId="28" xfId="0" applyFont="1" applyFill="1" applyBorder="1" applyAlignment="1">
      <alignment horizontal="center" vertical="center"/>
    </xf>
    <xf numFmtId="0" fontId="69" fillId="8" borderId="27" xfId="0" applyFont="1" applyFill="1" applyBorder="1" applyAlignment="1">
      <alignment horizontal="center"/>
    </xf>
    <xf numFmtId="0" fontId="69" fillId="8" borderId="0" xfId="0" applyFont="1" applyFill="1" applyAlignment="1">
      <alignment horizontal="center"/>
    </xf>
    <xf numFmtId="0" fontId="69" fillId="8" borderId="28" xfId="0" applyFont="1" applyFill="1" applyBorder="1" applyAlignment="1">
      <alignment horizontal="center"/>
    </xf>
    <xf numFmtId="0" fontId="5" fillId="13" borderId="3" xfId="0" applyFont="1" applyFill="1" applyBorder="1" applyAlignment="1">
      <alignment horizontal="center" vertical="center"/>
    </xf>
    <xf numFmtId="0" fontId="5" fillId="13" borderId="0" xfId="0" applyFont="1" applyFill="1" applyAlignment="1">
      <alignment horizontal="center" vertical="center"/>
    </xf>
    <xf numFmtId="0" fontId="5" fillId="13" borderId="4" xfId="0" applyFont="1" applyFill="1" applyBorder="1" applyAlignment="1">
      <alignment horizontal="center" vertical="center"/>
    </xf>
    <xf numFmtId="171" fontId="21" fillId="12" borderId="48" xfId="0" applyNumberFormat="1" applyFont="1" applyFill="1" applyBorder="1" applyAlignment="1">
      <alignment horizontal="center" vertical="center"/>
    </xf>
    <xf numFmtId="171" fontId="21" fillId="12" borderId="49" xfId="0" applyNumberFormat="1" applyFont="1" applyFill="1" applyBorder="1" applyAlignment="1">
      <alignment horizontal="center" vertical="center"/>
    </xf>
    <xf numFmtId="171" fontId="21" fillId="12" borderId="50" xfId="0" applyNumberFormat="1" applyFont="1" applyFill="1" applyBorder="1" applyAlignment="1">
      <alignment horizontal="center" vertical="center"/>
    </xf>
    <xf numFmtId="0" fontId="1" fillId="13" borderId="3" xfId="0" applyFont="1" applyFill="1" applyBorder="1" applyAlignment="1">
      <alignment horizontal="center" vertical="center" wrapText="1"/>
    </xf>
    <xf numFmtId="0" fontId="1" fillId="13" borderId="0" xfId="0" applyFont="1" applyFill="1" applyAlignment="1">
      <alignment horizontal="center" vertical="center" wrapText="1"/>
    </xf>
    <xf numFmtId="0" fontId="5" fillId="13" borderId="3" xfId="0" applyFont="1" applyFill="1" applyBorder="1" applyAlignment="1">
      <alignment horizontal="center" vertical="center" wrapText="1"/>
    </xf>
    <xf numFmtId="0" fontId="5" fillId="20" borderId="0" xfId="0" applyFont="1" applyFill="1" applyAlignment="1">
      <alignment horizontal="center" vertical="center" wrapText="1"/>
    </xf>
    <xf numFmtId="0" fontId="5" fillId="20" borderId="4" xfId="0" applyFont="1" applyFill="1" applyBorder="1" applyAlignment="1">
      <alignment horizontal="center" vertical="center" wrapText="1"/>
    </xf>
    <xf numFmtId="0" fontId="4" fillId="11" borderId="27" xfId="0" applyFont="1" applyFill="1" applyBorder="1" applyAlignment="1">
      <alignment horizontal="center" vertical="center"/>
    </xf>
    <xf numFmtId="0" fontId="4" fillId="11" borderId="0" xfId="0" applyFont="1" applyFill="1" applyAlignment="1">
      <alignment horizontal="center" vertical="center"/>
    </xf>
    <xf numFmtId="0" fontId="4" fillId="11" borderId="28" xfId="0" applyFont="1" applyFill="1" applyBorder="1" applyAlignment="1">
      <alignment horizontal="center" vertical="center"/>
    </xf>
    <xf numFmtId="0" fontId="4" fillId="13" borderId="27" xfId="0" applyFont="1" applyFill="1" applyBorder="1" applyAlignment="1">
      <alignment horizontal="center" vertical="center"/>
    </xf>
    <xf numFmtId="0" fontId="4" fillId="13" borderId="28" xfId="0" applyFont="1" applyFill="1" applyBorder="1" applyAlignment="1">
      <alignment horizontal="center" vertical="center"/>
    </xf>
    <xf numFmtId="9" fontId="23" fillId="10" borderId="27" xfId="4" applyFont="1" applyFill="1" applyBorder="1" applyAlignment="1">
      <alignment horizontal="center" vertical="center"/>
    </xf>
    <xf numFmtId="9" fontId="23" fillId="10" borderId="0" xfId="4" applyFont="1" applyFill="1" applyBorder="1" applyAlignment="1">
      <alignment horizontal="center" vertical="center"/>
    </xf>
    <xf numFmtId="9" fontId="23" fillId="10" borderId="28" xfId="4" applyFont="1" applyFill="1" applyBorder="1" applyAlignment="1">
      <alignment horizontal="center" vertical="center"/>
    </xf>
    <xf numFmtId="9" fontId="23" fillId="10" borderId="29" xfId="4" applyFont="1" applyFill="1" applyBorder="1" applyAlignment="1">
      <alignment horizontal="center" vertical="center"/>
    </xf>
    <xf numFmtId="9" fontId="23" fillId="10" borderId="30" xfId="4" applyFont="1" applyFill="1" applyBorder="1" applyAlignment="1">
      <alignment horizontal="center" vertical="center"/>
    </xf>
    <xf numFmtId="9" fontId="23" fillId="10" borderId="31" xfId="4" applyFont="1" applyFill="1" applyBorder="1" applyAlignment="1">
      <alignment horizontal="center" vertical="center"/>
    </xf>
    <xf numFmtId="0" fontId="5" fillId="12" borderId="3" xfId="0" applyFont="1" applyFill="1" applyBorder="1" applyAlignment="1">
      <alignment horizontal="center" vertical="center"/>
    </xf>
    <xf numFmtId="0" fontId="1" fillId="11" borderId="5"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5" fillId="11" borderId="3" xfId="0" applyFont="1" applyFill="1" applyBorder="1" applyAlignment="1">
      <alignment horizontal="center" vertical="center"/>
    </xf>
    <xf numFmtId="0" fontId="5" fillId="11" borderId="0" xfId="0" applyFont="1" applyFill="1" applyAlignment="1">
      <alignment horizontal="center" vertical="center"/>
    </xf>
    <xf numFmtId="0" fontId="5" fillId="11" borderId="4" xfId="0" applyFont="1" applyFill="1" applyBorder="1" applyAlignment="1">
      <alignment horizontal="center" vertical="center"/>
    </xf>
    <xf numFmtId="0" fontId="1" fillId="13" borderId="5" xfId="0" applyFont="1" applyFill="1" applyBorder="1" applyAlignment="1">
      <alignment horizontal="center" vertical="center" wrapText="1"/>
    </xf>
    <xf numFmtId="0" fontId="1" fillId="13" borderId="6" xfId="0" applyFont="1" applyFill="1" applyBorder="1" applyAlignment="1">
      <alignment horizontal="center" vertical="center" wrapText="1"/>
    </xf>
    <xf numFmtId="0" fontId="0" fillId="2" borderId="10" xfId="0" applyFill="1" applyBorder="1" applyAlignment="1" applyProtection="1">
      <alignment horizontal="center" vertical="center"/>
      <protection locked="0"/>
    </xf>
    <xf numFmtId="0" fontId="0" fillId="13" borderId="3" xfId="0" applyFill="1" applyBorder="1" applyAlignment="1">
      <alignment horizontal="center" vertical="center"/>
    </xf>
    <xf numFmtId="0" fontId="0" fillId="13" borderId="4" xfId="0" applyFill="1" applyBorder="1" applyAlignment="1">
      <alignment horizontal="center" vertical="center"/>
    </xf>
    <xf numFmtId="0" fontId="0" fillId="9" borderId="11" xfId="0" applyFill="1" applyBorder="1" applyAlignment="1" applyProtection="1">
      <alignment horizontal="center" vertical="center" wrapText="1"/>
      <protection locked="0"/>
    </xf>
    <xf numFmtId="0" fontId="0" fillId="9" borderId="12" xfId="0" applyFill="1" applyBorder="1" applyAlignment="1" applyProtection="1">
      <alignment horizontal="center" vertical="center" wrapText="1"/>
      <protection locked="0"/>
    </xf>
    <xf numFmtId="0" fontId="1" fillId="11" borderId="3" xfId="0" applyFont="1" applyFill="1" applyBorder="1" applyAlignment="1">
      <alignment horizontal="center" vertical="center" wrapText="1"/>
    </xf>
    <xf numFmtId="0" fontId="1" fillId="11" borderId="0" xfId="0" applyFont="1" applyFill="1" applyAlignment="1">
      <alignment horizontal="center" vertical="center" wrapText="1"/>
    </xf>
    <xf numFmtId="0" fontId="0" fillId="9" borderId="11" xfId="0" applyFill="1" applyBorder="1" applyAlignment="1">
      <alignment horizontal="center" vertical="center" wrapText="1"/>
    </xf>
    <xf numFmtId="0" fontId="0" fillId="9" borderId="12" xfId="0" applyFill="1" applyBorder="1" applyAlignment="1">
      <alignment horizontal="center" vertical="center" wrapText="1"/>
    </xf>
    <xf numFmtId="0" fontId="0" fillId="13" borderId="11" xfId="0" applyFill="1" applyBorder="1" applyAlignment="1">
      <alignment horizontal="center" vertical="center"/>
    </xf>
    <xf numFmtId="0" fontId="0" fillId="13" borderId="12" xfId="0" applyFill="1" applyBorder="1" applyAlignment="1">
      <alignment horizontal="center" vertical="center"/>
    </xf>
    <xf numFmtId="0" fontId="0" fillId="11" borderId="11" xfId="0" applyFill="1" applyBorder="1" applyAlignment="1">
      <alignment horizontal="center" vertical="center"/>
    </xf>
    <xf numFmtId="0" fontId="0" fillId="11" borderId="12" xfId="0" applyFill="1" applyBorder="1" applyAlignment="1">
      <alignment horizontal="center" vertical="center"/>
    </xf>
    <xf numFmtId="0" fontId="0" fillId="11" borderId="5" xfId="0" applyFill="1" applyBorder="1" applyAlignment="1">
      <alignment horizontal="center" vertical="center"/>
    </xf>
    <xf numFmtId="0" fontId="0" fillId="11" borderId="7" xfId="0" applyFill="1" applyBorder="1" applyAlignment="1">
      <alignment horizontal="center" vertical="center"/>
    </xf>
    <xf numFmtId="0" fontId="0" fillId="10" borderId="11" xfId="0" applyFill="1" applyBorder="1" applyAlignment="1">
      <alignment horizontal="center"/>
    </xf>
    <xf numFmtId="0" fontId="0" fillId="10" borderId="9" xfId="0" applyFill="1" applyBorder="1" applyAlignment="1">
      <alignment horizontal="center"/>
    </xf>
    <xf numFmtId="0" fontId="0" fillId="10" borderId="12" xfId="0" applyFill="1" applyBorder="1" applyAlignment="1">
      <alignment horizontal="center"/>
    </xf>
    <xf numFmtId="0" fontId="0" fillId="14" borderId="11" xfId="0" applyFill="1" applyBorder="1" applyAlignment="1">
      <alignment horizontal="center" vertical="center"/>
    </xf>
    <xf numFmtId="0" fontId="0" fillId="14" borderId="9" xfId="0" applyFill="1" applyBorder="1" applyAlignment="1">
      <alignment horizontal="center" vertical="center"/>
    </xf>
    <xf numFmtId="0" fontId="0" fillId="14" borderId="12" xfId="0" applyFill="1" applyBorder="1" applyAlignment="1">
      <alignment horizontal="center" vertical="center"/>
    </xf>
    <xf numFmtId="0" fontId="5" fillId="12" borderId="1" xfId="0" applyFont="1" applyFill="1" applyBorder="1" applyAlignment="1">
      <alignment horizontal="center" vertical="center"/>
    </xf>
    <xf numFmtId="0" fontId="5" fillId="12" borderId="2" xfId="0" applyFont="1" applyFill="1" applyBorder="1" applyAlignment="1">
      <alignment horizontal="center" vertical="center"/>
    </xf>
    <xf numFmtId="0" fontId="5" fillId="12" borderId="13" xfId="0" applyFont="1" applyFill="1" applyBorder="1" applyAlignment="1">
      <alignment horizontal="center" vertical="center"/>
    </xf>
    <xf numFmtId="0" fontId="5" fillId="12" borderId="4" xfId="0" applyFont="1" applyFill="1" applyBorder="1" applyAlignment="1">
      <alignment horizontal="center" vertical="center"/>
    </xf>
    <xf numFmtId="0" fontId="5" fillId="12" borderId="5" xfId="0" applyFont="1" applyFill="1" applyBorder="1" applyAlignment="1">
      <alignment horizontal="center" vertical="center"/>
    </xf>
    <xf numFmtId="0" fontId="5" fillId="12" borderId="6" xfId="0" applyFont="1" applyFill="1" applyBorder="1" applyAlignment="1">
      <alignment horizontal="center" vertical="center"/>
    </xf>
    <xf numFmtId="0" fontId="5" fillId="12" borderId="7" xfId="0" applyFont="1" applyFill="1" applyBorder="1" applyAlignment="1">
      <alignment horizontal="center" vertical="center"/>
    </xf>
    <xf numFmtId="0" fontId="5" fillId="12" borderId="90" xfId="0" applyFont="1" applyFill="1" applyBorder="1" applyAlignment="1">
      <alignment horizontal="center" vertical="center"/>
    </xf>
    <xf numFmtId="0" fontId="1" fillId="11" borderId="11" xfId="0" applyFont="1" applyFill="1" applyBorder="1" applyAlignment="1">
      <alignment horizontal="center" vertical="center"/>
    </xf>
    <xf numFmtId="0" fontId="1" fillId="11" borderId="9" xfId="0" applyFont="1" applyFill="1" applyBorder="1" applyAlignment="1">
      <alignment horizontal="center" vertical="center"/>
    </xf>
    <xf numFmtId="0" fontId="0" fillId="13" borderId="5" xfId="0" applyFill="1" applyBorder="1" applyAlignment="1">
      <alignment horizontal="center" vertical="center"/>
    </xf>
    <xf numFmtId="0" fontId="0" fillId="13" borderId="7" xfId="0" applyFill="1" applyBorder="1" applyAlignment="1">
      <alignment horizontal="center" vertical="center"/>
    </xf>
    <xf numFmtId="0" fontId="1" fillId="13" borderId="11" xfId="0" applyFont="1" applyFill="1" applyBorder="1" applyAlignment="1">
      <alignment horizontal="center" vertical="center"/>
    </xf>
    <xf numFmtId="0" fontId="1" fillId="13" borderId="9" xfId="0" applyFont="1" applyFill="1" applyBorder="1" applyAlignment="1">
      <alignment horizontal="center" vertical="center"/>
    </xf>
    <xf numFmtId="0" fontId="5" fillId="12" borderId="83" xfId="0" applyFont="1" applyFill="1" applyBorder="1" applyAlignment="1">
      <alignment horizontal="center" vertical="center"/>
    </xf>
    <xf numFmtId="0" fontId="5" fillId="12" borderId="41" xfId="0" applyFont="1" applyFill="1" applyBorder="1" applyAlignment="1">
      <alignment horizontal="center" vertical="center"/>
    </xf>
    <xf numFmtId="0" fontId="5" fillId="12" borderId="24" xfId="0" applyFont="1" applyFill="1" applyBorder="1" applyAlignment="1">
      <alignment horizontal="center" vertical="center"/>
    </xf>
    <xf numFmtId="4" fontId="21" fillId="12" borderId="1" xfId="0" applyNumberFormat="1" applyFont="1" applyFill="1" applyBorder="1" applyAlignment="1">
      <alignment horizontal="center" vertical="center"/>
    </xf>
    <xf numFmtId="4" fontId="21" fillId="12" borderId="3" xfId="0" applyNumberFormat="1" applyFont="1" applyFill="1" applyBorder="1" applyAlignment="1">
      <alignment horizontal="center" vertical="center"/>
    </xf>
    <xf numFmtId="4" fontId="21" fillId="12" borderId="5" xfId="0" applyNumberFormat="1" applyFont="1" applyFill="1" applyBorder="1" applyAlignment="1">
      <alignment horizontal="center" vertical="center"/>
    </xf>
    <xf numFmtId="0" fontId="4" fillId="13" borderId="22" xfId="0" applyFont="1" applyFill="1" applyBorder="1" applyAlignment="1">
      <alignment horizontal="center" vertical="center"/>
    </xf>
    <xf numFmtId="0" fontId="4" fillId="13" borderId="24" xfId="0" applyFont="1" applyFill="1" applyBorder="1" applyAlignment="1">
      <alignment horizontal="center" vertical="center"/>
    </xf>
    <xf numFmtId="0" fontId="4" fillId="11" borderId="22" xfId="0" applyFont="1" applyFill="1" applyBorder="1" applyAlignment="1">
      <alignment horizontal="center" vertical="center"/>
    </xf>
    <xf numFmtId="0" fontId="4" fillId="11" borderId="41" xfId="0" applyFont="1" applyFill="1" applyBorder="1" applyAlignment="1">
      <alignment horizontal="center" vertical="center"/>
    </xf>
    <xf numFmtId="0" fontId="4" fillId="11" borderId="24" xfId="0" applyFont="1" applyFill="1" applyBorder="1" applyAlignment="1">
      <alignment horizontal="center" vertical="center"/>
    </xf>
    <xf numFmtId="43" fontId="32" fillId="10" borderId="27" xfId="1" applyFont="1" applyFill="1" applyBorder="1" applyAlignment="1">
      <alignment horizontal="center" vertical="top"/>
    </xf>
    <xf numFmtId="43" fontId="32" fillId="10" borderId="28" xfId="1" applyFont="1" applyFill="1" applyBorder="1" applyAlignment="1">
      <alignment horizontal="center" vertical="top"/>
    </xf>
    <xf numFmtId="3" fontId="38" fillId="10" borderId="27" xfId="1" applyNumberFormat="1" applyFont="1" applyFill="1" applyBorder="1" applyAlignment="1">
      <alignment horizontal="center" vertical="center"/>
    </xf>
    <xf numFmtId="3" fontId="38" fillId="10" borderId="0" xfId="1" applyNumberFormat="1" applyFont="1" applyFill="1" applyBorder="1" applyAlignment="1">
      <alignment horizontal="center" vertical="center"/>
    </xf>
    <xf numFmtId="3" fontId="38" fillId="10" borderId="28" xfId="1" applyNumberFormat="1" applyFont="1" applyFill="1" applyBorder="1" applyAlignment="1">
      <alignment horizontal="center" vertical="center"/>
    </xf>
    <xf numFmtId="1" fontId="32" fillId="10" borderId="27" xfId="1" applyNumberFormat="1" applyFont="1" applyFill="1" applyBorder="1" applyAlignment="1">
      <alignment horizontal="center" vertical="top"/>
    </xf>
    <xf numFmtId="1" fontId="32" fillId="10" borderId="0" xfId="1" applyNumberFormat="1" applyFont="1" applyFill="1" applyBorder="1" applyAlignment="1">
      <alignment horizontal="center" vertical="top"/>
    </xf>
    <xf numFmtId="1" fontId="32" fillId="10" borderId="28" xfId="1" applyNumberFormat="1" applyFont="1" applyFill="1" applyBorder="1" applyAlignment="1">
      <alignment horizontal="center" vertical="top"/>
    </xf>
    <xf numFmtId="1" fontId="32" fillId="10" borderId="27" xfId="1" applyNumberFormat="1" applyFont="1" applyFill="1" applyBorder="1" applyAlignment="1">
      <alignment horizontal="center" vertical="center"/>
    </xf>
    <xf numFmtId="1" fontId="32" fillId="10" borderId="0" xfId="1" applyNumberFormat="1" applyFont="1" applyFill="1" applyBorder="1" applyAlignment="1">
      <alignment horizontal="center" vertical="center"/>
    </xf>
    <xf numFmtId="1" fontId="32" fillId="10" borderId="28" xfId="1" applyNumberFormat="1" applyFont="1" applyFill="1" applyBorder="1" applyAlignment="1">
      <alignment horizontal="center" vertical="center"/>
    </xf>
    <xf numFmtId="43" fontId="32" fillId="10" borderId="27" xfId="1" applyFont="1" applyFill="1" applyBorder="1" applyAlignment="1">
      <alignment horizontal="center" vertical="center"/>
    </xf>
    <xf numFmtId="43" fontId="32" fillId="10" borderId="28" xfId="1" applyFont="1" applyFill="1" applyBorder="1" applyAlignment="1">
      <alignment horizontal="center" vertical="center"/>
    </xf>
    <xf numFmtId="171" fontId="23" fillId="10" borderId="27" xfId="1" applyNumberFormat="1" applyFont="1" applyFill="1" applyBorder="1" applyAlignment="1">
      <alignment horizontal="center" vertical="center"/>
    </xf>
    <xf numFmtId="171" fontId="23" fillId="10" borderId="28" xfId="1" applyNumberFormat="1" applyFont="1" applyFill="1" applyBorder="1" applyAlignment="1">
      <alignment horizontal="center" vertical="center"/>
    </xf>
    <xf numFmtId="0" fontId="0" fillId="9" borderId="11" xfId="0" applyFill="1" applyBorder="1" applyAlignment="1" applyProtection="1">
      <alignment horizontal="center" vertical="center"/>
      <protection locked="0"/>
    </xf>
    <xf numFmtId="0" fontId="0" fillId="9" borderId="12" xfId="0" applyFill="1" applyBorder="1" applyAlignment="1" applyProtection="1">
      <alignment horizontal="center" vertical="center"/>
      <protection locked="0"/>
    </xf>
    <xf numFmtId="0" fontId="0" fillId="2" borderId="11" xfId="0" applyFill="1" applyBorder="1" applyAlignment="1" applyProtection="1">
      <alignment horizontal="center" vertical="center" wrapText="1"/>
      <protection locked="0"/>
    </xf>
    <xf numFmtId="0" fontId="0" fillId="2" borderId="12" xfId="0" applyFill="1" applyBorder="1" applyAlignment="1" applyProtection="1">
      <alignment horizontal="center" vertical="center" wrapText="1"/>
      <protection locked="0"/>
    </xf>
    <xf numFmtId="171" fontId="23" fillId="10" borderId="0" xfId="1" applyNumberFormat="1" applyFont="1" applyFill="1" applyBorder="1" applyAlignment="1">
      <alignment horizontal="center" vertical="center"/>
    </xf>
    <xf numFmtId="0" fontId="13" fillId="10" borderId="0" xfId="0" applyFont="1" applyFill="1" applyAlignment="1">
      <alignment horizontal="center" vertical="center"/>
    </xf>
    <xf numFmtId="0" fontId="13" fillId="10" borderId="0" xfId="0" applyFont="1" applyFill="1" applyAlignment="1" applyProtection="1">
      <alignment horizontal="center" vertical="center"/>
      <protection locked="0"/>
    </xf>
    <xf numFmtId="0" fontId="69" fillId="8" borderId="23" xfId="0" applyFont="1" applyFill="1" applyBorder="1" applyAlignment="1">
      <alignment horizontal="center"/>
    </xf>
    <xf numFmtId="0" fontId="69" fillId="8" borderId="40" xfId="0" applyFont="1" applyFill="1" applyBorder="1" applyAlignment="1">
      <alignment horizontal="center"/>
    </xf>
    <xf numFmtId="1" fontId="16" fillId="13" borderId="32" xfId="0" applyNumberFormat="1" applyFont="1" applyFill="1" applyBorder="1" applyAlignment="1">
      <alignment horizontal="center" vertical="center"/>
    </xf>
    <xf numFmtId="0" fontId="0" fillId="13" borderId="18" xfId="0" applyFill="1" applyBorder="1" applyAlignment="1">
      <alignment horizontal="center" vertical="center"/>
    </xf>
    <xf numFmtId="0" fontId="0" fillId="13" borderId="32" xfId="0" applyFill="1" applyBorder="1" applyAlignment="1">
      <alignment horizontal="center" vertical="center"/>
    </xf>
    <xf numFmtId="0" fontId="0" fillId="11" borderId="32" xfId="0" applyFill="1" applyBorder="1" applyAlignment="1">
      <alignment horizontal="center" vertical="center"/>
    </xf>
    <xf numFmtId="0" fontId="0" fillId="11" borderId="18" xfId="0" applyFill="1" applyBorder="1" applyAlignment="1">
      <alignment horizontal="center" vertical="center"/>
    </xf>
    <xf numFmtId="0" fontId="1" fillId="2" borderId="10" xfId="0" applyFont="1" applyFill="1" applyBorder="1" applyAlignment="1">
      <alignment horizontal="center" vertical="center"/>
    </xf>
    <xf numFmtId="0" fontId="0" fillId="9" borderId="10" xfId="0" applyFill="1" applyBorder="1" applyAlignment="1">
      <alignment horizontal="center" vertical="center"/>
    </xf>
    <xf numFmtId="0" fontId="1" fillId="13" borderId="10" xfId="0" applyFont="1" applyFill="1" applyBorder="1" applyAlignment="1">
      <alignment horizontal="center" vertical="center"/>
    </xf>
    <xf numFmtId="0" fontId="0" fillId="9" borderId="10" xfId="0" applyFill="1" applyBorder="1" applyAlignment="1" applyProtection="1">
      <alignment horizontal="center" vertical="center"/>
      <protection locked="0"/>
    </xf>
    <xf numFmtId="0" fontId="1" fillId="11" borderId="12" xfId="0" applyFont="1" applyFill="1" applyBorder="1" applyAlignment="1">
      <alignment horizontal="center" vertical="center"/>
    </xf>
    <xf numFmtId="16" fontId="7" fillId="2" borderId="11" xfId="0" applyNumberFormat="1" applyFont="1" applyFill="1" applyBorder="1" applyAlignment="1" applyProtection="1">
      <alignment horizontal="center" vertical="center"/>
      <protection locked="0"/>
    </xf>
    <xf numFmtId="16" fontId="7" fillId="2" borderId="12" xfId="0" applyNumberFormat="1"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protection locked="0"/>
    </xf>
    <xf numFmtId="0" fontId="25" fillId="8" borderId="22" xfId="0" applyFont="1" applyFill="1" applyBorder="1" applyAlignment="1">
      <alignment horizontal="left"/>
    </xf>
    <xf numFmtId="0" fontId="25" fillId="8" borderId="41" xfId="0" applyFont="1" applyFill="1" applyBorder="1" applyAlignment="1">
      <alignment horizontal="left"/>
    </xf>
    <xf numFmtId="0" fontId="69" fillId="8" borderId="39" xfId="0" applyFont="1" applyFill="1" applyBorder="1" applyAlignment="1">
      <alignment horizontal="left"/>
    </xf>
    <xf numFmtId="0" fontId="69" fillId="8" borderId="23" xfId="0" applyFont="1" applyFill="1" applyBorder="1" applyAlignment="1">
      <alignment horizontal="left"/>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25" fillId="8" borderId="29" xfId="0" applyFont="1" applyFill="1" applyBorder="1" applyAlignment="1">
      <alignment horizontal="left" vertical="center"/>
    </xf>
    <xf numFmtId="0" fontId="25" fillId="8" borderId="30" xfId="0" applyFont="1" applyFill="1" applyBorder="1" applyAlignment="1">
      <alignment horizontal="left" vertical="center"/>
    </xf>
    <xf numFmtId="0" fontId="69" fillId="8" borderId="27" xfId="0" applyFont="1" applyFill="1" applyBorder="1" applyAlignment="1">
      <alignment horizontal="left" vertical="center"/>
    </xf>
    <xf numFmtId="0" fontId="69" fillId="8" borderId="0" xfId="0" applyFont="1" applyFill="1" applyAlignment="1">
      <alignment horizontal="left" vertical="center"/>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11" borderId="3" xfId="0" applyFill="1" applyBorder="1" applyAlignment="1">
      <alignment horizontal="center" vertical="center"/>
    </xf>
    <xf numFmtId="0" fontId="0" fillId="11" borderId="4" xfId="0" applyFill="1" applyBorder="1" applyAlignment="1">
      <alignment horizontal="center" vertical="center"/>
    </xf>
    <xf numFmtId="0" fontId="1" fillId="11" borderId="1" xfId="0" applyFont="1" applyFill="1" applyBorder="1" applyAlignment="1">
      <alignment horizontal="center" vertical="center"/>
    </xf>
    <xf numFmtId="0" fontId="1" fillId="11" borderId="2" xfId="0" applyFont="1" applyFill="1" applyBorder="1" applyAlignment="1">
      <alignment horizontal="center" vertical="center"/>
    </xf>
    <xf numFmtId="0" fontId="8" fillId="11" borderId="1" xfId="0" applyFont="1" applyFill="1" applyBorder="1" applyAlignment="1">
      <alignment horizontal="center" vertical="center" wrapText="1"/>
    </xf>
    <xf numFmtId="1" fontId="7" fillId="2" borderId="10" xfId="1" applyNumberFormat="1" applyFont="1" applyFill="1" applyBorder="1" applyAlignment="1" applyProtection="1">
      <alignment horizontal="center" vertical="center"/>
      <protection locked="0"/>
    </xf>
    <xf numFmtId="0" fontId="5" fillId="11" borderId="3" xfId="0" applyFont="1" applyFill="1" applyBorder="1" applyAlignment="1">
      <alignment horizontal="center" vertical="center" wrapText="1"/>
    </xf>
    <xf numFmtId="0" fontId="5" fillId="11" borderId="0" xfId="0" applyFont="1" applyFill="1" applyAlignment="1">
      <alignment horizontal="center" vertical="center" wrapText="1"/>
    </xf>
    <xf numFmtId="0" fontId="5" fillId="11" borderId="4" xfId="0" applyFont="1" applyFill="1" applyBorder="1" applyAlignment="1">
      <alignment horizontal="center" vertical="center" wrapText="1"/>
    </xf>
    <xf numFmtId="0" fontId="5" fillId="12" borderId="22" xfId="0" applyFont="1" applyFill="1" applyBorder="1" applyAlignment="1">
      <alignment horizontal="center" vertical="center"/>
    </xf>
    <xf numFmtId="0" fontId="5" fillId="12" borderId="82" xfId="0" applyFont="1" applyFill="1" applyBorder="1" applyAlignment="1">
      <alignment horizontal="center" vertical="center"/>
    </xf>
    <xf numFmtId="0" fontId="0" fillId="11" borderId="11" xfId="0" applyFill="1" applyBorder="1" applyAlignment="1">
      <alignment vertical="center"/>
    </xf>
    <xf numFmtId="0" fontId="0" fillId="11" borderId="12" xfId="0" applyFill="1" applyBorder="1" applyAlignment="1">
      <alignment vertical="center"/>
    </xf>
    <xf numFmtId="0" fontId="0" fillId="13" borderId="10" xfId="0" applyFill="1" applyBorder="1" applyAlignment="1">
      <alignment vertical="center"/>
    </xf>
    <xf numFmtId="0" fontId="7" fillId="2" borderId="1"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0" fillId="9" borderId="11" xfId="0" applyFill="1" applyBorder="1" applyAlignment="1">
      <alignment horizontal="center" vertical="center"/>
    </xf>
    <xf numFmtId="0" fontId="0" fillId="9" borderId="12" xfId="0" applyFill="1" applyBorder="1" applyAlignment="1">
      <alignment horizontal="center" vertical="center"/>
    </xf>
    <xf numFmtId="4" fontId="21" fillId="12" borderId="48" xfId="0" applyNumberFormat="1" applyFont="1" applyFill="1" applyBorder="1" applyAlignment="1">
      <alignment horizontal="center" vertical="center"/>
    </xf>
    <xf numFmtId="4" fontId="21" fillId="12" borderId="49" xfId="0" applyNumberFormat="1" applyFont="1" applyFill="1" applyBorder="1" applyAlignment="1">
      <alignment horizontal="center" vertical="center"/>
    </xf>
    <xf numFmtId="4" fontId="21" fillId="12" borderId="81" xfId="0" applyNumberFormat="1" applyFont="1" applyFill="1" applyBorder="1" applyAlignment="1">
      <alignment horizontal="center" vertical="center"/>
    </xf>
    <xf numFmtId="0" fontId="0" fillId="13" borderId="11" xfId="0" applyFill="1" applyBorder="1" applyAlignment="1">
      <alignment horizontal="left" vertical="center"/>
    </xf>
    <xf numFmtId="0" fontId="0" fillId="13" borderId="12" xfId="0" applyFill="1" applyBorder="1" applyAlignment="1">
      <alignment horizontal="left" vertical="center"/>
    </xf>
    <xf numFmtId="0" fontId="10" fillId="13"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 fillId="13" borderId="0" xfId="0" applyFont="1" applyFill="1" applyAlignment="1">
      <alignment horizontal="center" vertical="center"/>
    </xf>
    <xf numFmtId="0" fontId="0" fillId="11" borderId="11" xfId="0" applyFill="1" applyBorder="1" applyAlignment="1">
      <alignment horizontal="left" vertical="center"/>
    </xf>
    <xf numFmtId="0" fontId="0" fillId="11" borderId="12" xfId="0" applyFill="1" applyBorder="1" applyAlignment="1">
      <alignment horizontal="left" vertical="center"/>
    </xf>
    <xf numFmtId="0" fontId="10" fillId="11" borderId="5"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4" fillId="4" borderId="39" xfId="0" applyFont="1" applyFill="1" applyBorder="1" applyAlignment="1">
      <alignment horizontal="center"/>
    </xf>
    <xf numFmtId="0" fontId="4" fillId="4" borderId="23" xfId="0" applyFont="1" applyFill="1" applyBorder="1" applyAlignment="1">
      <alignment horizontal="center"/>
    </xf>
    <xf numFmtId="0" fontId="4" fillId="4" borderId="40" xfId="0" applyFont="1" applyFill="1" applyBorder="1" applyAlignment="1">
      <alignment horizontal="center"/>
    </xf>
    <xf numFmtId="0" fontId="0" fillId="3" borderId="32" xfId="0" applyFill="1" applyBorder="1"/>
    <xf numFmtId="0" fontId="0" fillId="0" borderId="0" xfId="0"/>
    <xf numFmtId="0" fontId="1" fillId="4" borderId="1" xfId="0" applyFont="1" applyFill="1" applyBorder="1" applyAlignment="1">
      <alignment horizontal="center"/>
    </xf>
    <xf numFmtId="0" fontId="1" fillId="4" borderId="13" xfId="0" applyFont="1" applyFill="1" applyBorder="1" applyAlignment="1">
      <alignment horizontal="center"/>
    </xf>
    <xf numFmtId="0" fontId="16" fillId="4" borderId="3" xfId="2" applyFont="1" applyFill="1" applyBorder="1" applyAlignment="1" applyProtection="1">
      <alignment horizontal="center"/>
    </xf>
    <xf numFmtId="0" fontId="16" fillId="4" borderId="4" xfId="2" applyFont="1" applyFill="1" applyBorder="1" applyAlignment="1" applyProtection="1">
      <alignment horizontal="center"/>
    </xf>
    <xf numFmtId="0" fontId="1" fillId="4" borderId="2" xfId="0" applyFont="1" applyFill="1" applyBorder="1" applyAlignment="1">
      <alignment horizontal="center"/>
    </xf>
    <xf numFmtId="0" fontId="0" fillId="4" borderId="3" xfId="0" applyFill="1" applyBorder="1" applyAlignment="1">
      <alignment horizontal="center"/>
    </xf>
    <xf numFmtId="0" fontId="0" fillId="4" borderId="0" xfId="0" applyFill="1" applyAlignment="1">
      <alignment horizontal="center"/>
    </xf>
    <xf numFmtId="0" fontId="0" fillId="4" borderId="4" xfId="0" applyFill="1" applyBorder="1" applyAlignment="1">
      <alignment horizontal="center"/>
    </xf>
    <xf numFmtId="0" fontId="0" fillId="0" borderId="22" xfId="0" applyBorder="1" applyAlignment="1">
      <alignment horizontal="center"/>
    </xf>
    <xf numFmtId="0" fontId="0" fillId="0" borderId="41" xfId="0" applyBorder="1" applyAlignment="1">
      <alignment horizontal="center"/>
    </xf>
    <xf numFmtId="0" fontId="11" fillId="3" borderId="0" xfId="0" applyFont="1" applyFill="1" applyAlignment="1">
      <alignment wrapText="1"/>
    </xf>
    <xf numFmtId="0" fontId="4" fillId="3" borderId="2" xfId="0" applyFont="1" applyFill="1" applyBorder="1" applyAlignment="1">
      <alignment horizontal="left" vertical="center"/>
    </xf>
    <xf numFmtId="0" fontId="4" fillId="3" borderId="0" xfId="0" applyFont="1" applyFill="1" applyAlignment="1">
      <alignment horizontal="left" vertical="center"/>
    </xf>
    <xf numFmtId="0" fontId="4" fillId="3" borderId="6" xfId="0" applyFont="1" applyFill="1" applyBorder="1" applyAlignment="1">
      <alignment horizontal="left" vertical="center"/>
    </xf>
    <xf numFmtId="0" fontId="44" fillId="3" borderId="0" xfId="0" applyFont="1" applyFill="1" applyAlignment="1">
      <alignment horizontal="left" vertical="center"/>
    </xf>
    <xf numFmtId="0" fontId="44" fillId="3" borderId="6" xfId="0" applyFont="1" applyFill="1" applyBorder="1" applyAlignment="1">
      <alignment horizontal="left" vertical="center"/>
    </xf>
    <xf numFmtId="0" fontId="44" fillId="3" borderId="2" xfId="0" applyFont="1" applyFill="1" applyBorder="1" applyAlignment="1">
      <alignment horizontal="left" vertical="center"/>
    </xf>
    <xf numFmtId="0" fontId="12" fillId="4" borderId="34" xfId="0" applyFont="1" applyFill="1" applyBorder="1" applyAlignment="1">
      <alignment vertical="center" wrapText="1"/>
    </xf>
    <xf numFmtId="0" fontId="12" fillId="4" borderId="8" xfId="0" applyFont="1" applyFill="1" applyBorder="1" applyAlignment="1">
      <alignment vertical="center" wrapText="1"/>
    </xf>
    <xf numFmtId="0" fontId="17" fillId="4" borderId="35" xfId="0" applyFont="1" applyFill="1" applyBorder="1" applyAlignment="1">
      <alignment horizontal="center"/>
    </xf>
    <xf numFmtId="0" fontId="17" fillId="4" borderId="36" xfId="0" applyFont="1" applyFill="1" applyBorder="1" applyAlignment="1">
      <alignment horizontal="center"/>
    </xf>
    <xf numFmtId="0" fontId="24" fillId="8" borderId="0" xfId="0" applyFont="1" applyFill="1" applyAlignment="1">
      <alignment horizontal="center"/>
    </xf>
    <xf numFmtId="0" fontId="55" fillId="3" borderId="0" xfId="3" applyFont="1" applyFill="1" applyAlignment="1" applyProtection="1">
      <alignment horizontal="left"/>
      <protection locked="0"/>
    </xf>
    <xf numFmtId="0" fontId="54" fillId="3" borderId="0" xfId="0" applyFont="1" applyFill="1" applyAlignment="1" applyProtection="1">
      <alignment horizontal="left"/>
      <protection locked="0"/>
    </xf>
    <xf numFmtId="0" fontId="105" fillId="10" borderId="0" xfId="0" applyFont="1" applyFill="1"/>
    <xf numFmtId="0" fontId="106" fillId="10" borderId="0" xfId="0" applyFont="1" applyFill="1"/>
    <xf numFmtId="0" fontId="107" fillId="10" borderId="0" xfId="0" applyFont="1" applyFill="1"/>
    <xf numFmtId="0" fontId="105" fillId="10" borderId="0" xfId="0" applyFont="1" applyFill="1" applyAlignment="1">
      <alignment horizontal="left" vertical="center"/>
    </xf>
    <xf numFmtId="0" fontId="0" fillId="18" borderId="54" xfId="0" applyFont="1" applyFill="1" applyBorder="1"/>
    <xf numFmtId="0" fontId="0" fillId="0" borderId="54" xfId="0" applyFont="1" applyBorder="1"/>
    <xf numFmtId="0" fontId="0" fillId="18" borderId="56" xfId="0" applyFont="1" applyFill="1" applyBorder="1"/>
    <xf numFmtId="0" fontId="0" fillId="0" borderId="56" xfId="0" applyFont="1" applyBorder="1"/>
    <xf numFmtId="0" fontId="0" fillId="11" borderId="1" xfId="0" applyFill="1" applyBorder="1" applyAlignment="1" applyProtection="1">
      <alignment horizontal="center" vertical="center"/>
      <protection locked="0"/>
    </xf>
    <xf numFmtId="0" fontId="0" fillId="11" borderId="2" xfId="0" applyFill="1" applyBorder="1" applyAlignment="1" applyProtection="1">
      <alignment horizontal="center" vertical="center"/>
      <protection locked="0"/>
    </xf>
    <xf numFmtId="0" fontId="8" fillId="12" borderId="22" xfId="0" applyFont="1" applyFill="1" applyBorder="1" applyAlignment="1">
      <alignment vertical="center" wrapText="1"/>
    </xf>
    <xf numFmtId="0" fontId="0" fillId="12" borderId="27" xfId="0" applyFill="1" applyBorder="1" applyAlignment="1">
      <alignment vertical="center"/>
    </xf>
    <xf numFmtId="0" fontId="8" fillId="12" borderId="27" xfId="0" applyFont="1" applyFill="1" applyBorder="1" applyAlignment="1">
      <alignment vertical="center"/>
    </xf>
    <xf numFmtId="0" fontId="8" fillId="12" borderId="27" xfId="0" applyFont="1" applyFill="1" applyBorder="1" applyAlignment="1">
      <alignment horizontal="left" vertical="center"/>
    </xf>
    <xf numFmtId="0" fontId="7" fillId="12" borderId="27" xfId="0" applyFont="1" applyFill="1" applyBorder="1" applyAlignment="1">
      <alignment horizontal="left" vertical="center"/>
    </xf>
    <xf numFmtId="0" fontId="7" fillId="12" borderId="27" xfId="0" applyFont="1" applyFill="1" applyBorder="1" applyAlignment="1">
      <alignment horizontal="left" vertical="center" wrapText="1"/>
    </xf>
    <xf numFmtId="0" fontId="8" fillId="12" borderId="0" xfId="0" applyFont="1" applyFill="1" applyAlignment="1">
      <alignment horizontal="center" vertical="center"/>
    </xf>
    <xf numFmtId="165" fontId="7" fillId="12" borderId="10" xfId="1" applyNumberFormat="1" applyFont="1" applyFill="1" applyBorder="1" applyAlignment="1" applyProtection="1">
      <alignment horizontal="center" vertical="center"/>
    </xf>
    <xf numFmtId="1" fontId="7" fillId="12" borderId="10" xfId="1" applyNumberFormat="1" applyFont="1" applyFill="1" applyBorder="1" applyAlignment="1" applyProtection="1">
      <alignment horizontal="center" vertical="center"/>
    </xf>
    <xf numFmtId="1" fontId="7" fillId="12" borderId="11" xfId="1" applyNumberFormat="1" applyFont="1" applyFill="1" applyBorder="1" applyAlignment="1" applyProtection="1">
      <alignment horizontal="center" vertical="center"/>
    </xf>
    <xf numFmtId="1" fontId="7" fillId="12" borderId="10" xfId="0" applyNumberFormat="1" applyFont="1" applyFill="1" applyBorder="1" applyAlignment="1">
      <alignment horizontal="center" vertical="center"/>
    </xf>
    <xf numFmtId="0" fontId="8" fillId="12" borderId="24" xfId="0" applyFont="1" applyFill="1" applyBorder="1" applyAlignment="1">
      <alignment horizontal="center" wrapText="1"/>
    </xf>
    <xf numFmtId="0" fontId="73" fillId="12" borderId="28" xfId="0" applyFont="1" applyFill="1" applyBorder="1" applyAlignment="1">
      <alignment horizontal="center" vertical="center" wrapText="1"/>
    </xf>
    <xf numFmtId="0" fontId="73" fillId="12" borderId="28" xfId="0" applyFont="1" applyFill="1" applyBorder="1" applyAlignment="1">
      <alignment horizontal="left" vertical="center" wrapText="1"/>
    </xf>
    <xf numFmtId="0" fontId="104" fillId="12" borderId="28" xfId="0" applyFont="1" applyFill="1" applyBorder="1" applyAlignment="1">
      <alignment horizontal="center" vertical="center" wrapText="1"/>
    </xf>
    <xf numFmtId="0" fontId="8" fillId="12" borderId="28" xfId="0" applyFont="1" applyFill="1" applyBorder="1" applyAlignment="1">
      <alignment horizontal="center" vertical="center"/>
    </xf>
    <xf numFmtId="0" fontId="8" fillId="12" borderId="28" xfId="0" applyFont="1" applyFill="1" applyBorder="1" applyAlignment="1">
      <alignment horizontal="center" vertical="center" wrapText="1"/>
    </xf>
    <xf numFmtId="0" fontId="7" fillId="12" borderId="28" xfId="0" applyFont="1" applyFill="1" applyBorder="1" applyAlignment="1">
      <alignment horizontal="center" vertical="center" wrapText="1"/>
    </xf>
    <xf numFmtId="0" fontId="7" fillId="12" borderId="28" xfId="0" applyFont="1" applyFill="1" applyBorder="1" applyAlignment="1">
      <alignment horizontal="center" vertical="center"/>
    </xf>
    <xf numFmtId="165" fontId="7" fillId="12" borderId="28" xfId="0" applyNumberFormat="1" applyFont="1" applyFill="1" applyBorder="1" applyAlignment="1">
      <alignment horizontal="center" vertical="center"/>
    </xf>
    <xf numFmtId="0" fontId="8" fillId="12" borderId="31" xfId="0" applyFont="1" applyFill="1" applyBorder="1" applyAlignment="1">
      <alignment horizontal="center" vertical="center"/>
    </xf>
    <xf numFmtId="0" fontId="0" fillId="12" borderId="0" xfId="0" applyFill="1" applyAlignment="1" applyProtection="1">
      <alignment horizontal="center" vertical="center"/>
      <protection locked="0"/>
    </xf>
    <xf numFmtId="0" fontId="8" fillId="12" borderId="6" xfId="0" applyFont="1" applyFill="1" applyBorder="1" applyAlignment="1">
      <alignment horizontal="center" vertical="center"/>
    </xf>
    <xf numFmtId="0" fontId="8" fillId="12" borderId="1"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8" fillId="12" borderId="5" xfId="0" applyFont="1" applyFill="1" applyBorder="1" applyAlignment="1">
      <alignment horizontal="center" vertical="center" wrapText="1"/>
    </xf>
    <xf numFmtId="0" fontId="8" fillId="12" borderId="7" xfId="0" applyFont="1" applyFill="1" applyBorder="1" applyAlignment="1">
      <alignment horizontal="center" vertical="center" wrapText="1"/>
    </xf>
    <xf numFmtId="0" fontId="8" fillId="12" borderId="3" xfId="0" applyFont="1" applyFill="1" applyBorder="1" applyAlignment="1">
      <alignment horizontal="center" vertical="center" wrapText="1"/>
    </xf>
    <xf numFmtId="0" fontId="8" fillId="12" borderId="4" xfId="0" applyFont="1" applyFill="1" applyBorder="1" applyAlignment="1">
      <alignment horizontal="center" vertical="center" wrapText="1"/>
    </xf>
    <xf numFmtId="0" fontId="69" fillId="8" borderId="41" xfId="0" applyFont="1" applyFill="1" applyBorder="1" applyAlignment="1">
      <alignment horizontal="left"/>
    </xf>
    <xf numFmtId="0" fontId="8" fillId="11" borderId="13" xfId="0" applyFont="1" applyFill="1" applyBorder="1" applyAlignment="1">
      <alignment horizontal="center" vertical="center"/>
    </xf>
    <xf numFmtId="0" fontId="8" fillId="11" borderId="11" xfId="0" applyFont="1" applyFill="1" applyBorder="1" applyAlignment="1">
      <alignment horizontal="center" vertical="center"/>
    </xf>
    <xf numFmtId="0" fontId="8" fillId="11" borderId="12" xfId="0" applyFont="1" applyFill="1" applyBorder="1" applyAlignment="1">
      <alignment horizontal="center" vertical="center"/>
    </xf>
    <xf numFmtId="0" fontId="8" fillId="13" borderId="11" xfId="0" applyFont="1" applyFill="1" applyBorder="1" applyAlignment="1">
      <alignment horizontal="center" vertical="center" wrapText="1"/>
    </xf>
    <xf numFmtId="0" fontId="8" fillId="13" borderId="12" xfId="0" applyFont="1" applyFill="1" applyBorder="1" applyAlignment="1">
      <alignment horizontal="center" vertical="center"/>
    </xf>
    <xf numFmtId="0" fontId="8" fillId="13" borderId="11" xfId="0" applyFont="1" applyFill="1" applyBorder="1" applyAlignment="1">
      <alignment horizontal="center" vertical="center"/>
    </xf>
    <xf numFmtId="0" fontId="7" fillId="12" borderId="11" xfId="0" applyFont="1" applyFill="1" applyBorder="1" applyAlignment="1">
      <alignment vertical="center" wrapText="1"/>
    </xf>
    <xf numFmtId="1" fontId="7" fillId="12" borderId="12" xfId="1" applyNumberFormat="1" applyFont="1" applyFill="1" applyBorder="1" applyAlignment="1" applyProtection="1">
      <alignment horizontal="center" vertical="center"/>
    </xf>
    <xf numFmtId="0" fontId="7" fillId="12" borderId="10" xfId="0" applyFont="1" applyFill="1" applyBorder="1" applyAlignment="1">
      <alignment horizontal="center" vertical="center" wrapText="1"/>
    </xf>
    <xf numFmtId="0" fontId="79" fillId="12" borderId="43" xfId="0" applyFont="1" applyFill="1" applyBorder="1"/>
    <xf numFmtId="0" fontId="79" fillId="12" borderId="0" xfId="0" applyFont="1" applyFill="1"/>
    <xf numFmtId="0" fontId="79" fillId="12" borderId="2" xfId="0" applyFont="1" applyFill="1" applyBorder="1"/>
    <xf numFmtId="0" fontId="79" fillId="12" borderId="0" xfId="0" quotePrefix="1" applyFont="1" applyFill="1"/>
    <xf numFmtId="0" fontId="79" fillId="12" borderId="0" xfId="0" applyFont="1" applyFill="1" applyAlignment="1">
      <alignment horizontal="left" vertical="center"/>
    </xf>
    <xf numFmtId="0" fontId="79" fillId="12" borderId="28" xfId="0" applyFont="1" applyFill="1" applyBorder="1" applyAlignment="1">
      <alignment horizontal="left" vertical="center"/>
    </xf>
    <xf numFmtId="0" fontId="79" fillId="12" borderId="29" xfId="0" applyFont="1" applyFill="1" applyBorder="1" applyProtection="1">
      <protection locked="0"/>
    </xf>
    <xf numFmtId="0" fontId="79" fillId="12" borderId="30" xfId="0" applyFont="1" applyFill="1" applyBorder="1" applyProtection="1">
      <protection locked="0"/>
    </xf>
    <xf numFmtId="0" fontId="79" fillId="12" borderId="30" xfId="0" quotePrefix="1" applyFont="1" applyFill="1" applyBorder="1" applyProtection="1">
      <protection locked="0"/>
    </xf>
    <xf numFmtId="0" fontId="108" fillId="12" borderId="30" xfId="0" applyFont="1" applyFill="1" applyBorder="1" applyAlignment="1" applyProtection="1">
      <alignment horizontal="center" vertical="center"/>
      <protection locked="0"/>
    </xf>
    <xf numFmtId="165" fontId="79" fillId="12" borderId="30" xfId="0" applyNumberFormat="1" applyFont="1" applyFill="1" applyBorder="1" applyAlignment="1" applyProtection="1">
      <alignment horizontal="right" vertical="center"/>
      <protection locked="0"/>
    </xf>
    <xf numFmtId="0" fontId="79" fillId="12" borderId="30" xfId="0" applyFont="1" applyFill="1" applyBorder="1" applyAlignment="1" applyProtection="1">
      <alignment horizontal="left" vertical="center"/>
      <protection locked="0"/>
    </xf>
    <xf numFmtId="0" fontId="79" fillId="12" borderId="31" xfId="0" applyFont="1" applyFill="1" applyBorder="1" applyAlignment="1" applyProtection="1">
      <alignment horizontal="left" vertical="center"/>
      <protection locked="0"/>
    </xf>
    <xf numFmtId="0" fontId="8" fillId="12" borderId="27" xfId="0" applyFont="1" applyFill="1" applyBorder="1" applyAlignment="1">
      <alignment horizontal="center" vertical="center"/>
    </xf>
    <xf numFmtId="0" fontId="8" fillId="12"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horizontal="center" vertical="center" wrapText="1"/>
    </xf>
    <xf numFmtId="0" fontId="8" fillId="12" borderId="28" xfId="0" applyFont="1" applyFill="1" applyBorder="1" applyAlignment="1">
      <alignment horizontal="center" vertical="center" wrapText="1"/>
    </xf>
    <xf numFmtId="0" fontId="56" fillId="12" borderId="0" xfId="0" applyFont="1" applyFill="1" applyAlignment="1">
      <alignment horizontal="center" vertical="center" wrapText="1"/>
    </xf>
    <xf numFmtId="0" fontId="7" fillId="12" borderId="0" xfId="0" applyFont="1" applyFill="1" applyAlignment="1">
      <alignment horizontal="center" vertical="center" wrapText="1"/>
    </xf>
    <xf numFmtId="0" fontId="7" fillId="12" borderId="0" xfId="0" applyFont="1" applyFill="1"/>
    <xf numFmtId="0" fontId="7" fillId="12" borderId="0" xfId="0" applyFont="1" applyFill="1" applyAlignment="1">
      <alignment horizontal="center" vertical="center"/>
    </xf>
    <xf numFmtId="0" fontId="7" fillId="12" borderId="28" xfId="0" applyFont="1" applyFill="1" applyBorder="1" applyAlignment="1">
      <alignment horizontal="center" vertical="center"/>
    </xf>
    <xf numFmtId="165" fontId="16" fillId="9" borderId="9" xfId="0" applyNumberFormat="1" applyFont="1" applyFill="1" applyBorder="1" applyAlignment="1">
      <alignment horizontal="right" vertical="center"/>
    </xf>
    <xf numFmtId="165" fontId="16" fillId="9" borderId="11" xfId="0" applyNumberFormat="1" applyFont="1" applyFill="1" applyBorder="1" applyAlignment="1">
      <alignment horizontal="right" vertical="center"/>
    </xf>
    <xf numFmtId="0" fontId="72" fillId="10" borderId="14" xfId="0" applyFont="1" applyFill="1" applyBorder="1" applyProtection="1">
      <protection hidden="1"/>
    </xf>
    <xf numFmtId="0" fontId="72" fillId="10" borderId="21" xfId="0" applyFont="1" applyFill="1" applyBorder="1" applyProtection="1">
      <protection hidden="1"/>
    </xf>
    <xf numFmtId="0" fontId="76" fillId="10" borderId="0" xfId="0" applyFont="1" applyFill="1" applyBorder="1" applyAlignment="1" applyProtection="1">
      <alignment horizontal="center" vertical="center"/>
      <protection locked="0"/>
    </xf>
    <xf numFmtId="0" fontId="72" fillId="10" borderId="0" xfId="0" applyFont="1" applyFill="1" applyProtection="1"/>
    <xf numFmtId="0" fontId="76" fillId="10" borderId="0" xfId="0" applyFont="1" applyFill="1" applyProtection="1"/>
    <xf numFmtId="2" fontId="76" fillId="10" borderId="0" xfId="0" applyNumberFormat="1" applyFont="1" applyFill="1" applyProtection="1"/>
    <xf numFmtId="3" fontId="72" fillId="10" borderId="0" xfId="0" applyNumberFormat="1" applyFont="1" applyFill="1" applyProtection="1"/>
    <xf numFmtId="175" fontId="72" fillId="10" borderId="0" xfId="0" applyNumberFormat="1" applyFont="1" applyFill="1" applyProtection="1"/>
    <xf numFmtId="175" fontId="76" fillId="10" borderId="0" xfId="0" applyNumberFormat="1" applyFont="1" applyFill="1" applyProtection="1"/>
  </cellXfs>
  <cellStyles count="5">
    <cellStyle name="Bad" xfId="2" builtinId="27"/>
    <cellStyle name="Comma" xfId="1" builtinId="3"/>
    <cellStyle name="Hyperlink" xfId="3" builtinId="8"/>
    <cellStyle name="Normal" xfId="0" builtinId="0"/>
    <cellStyle name="Percent" xfId="4" builtinId="5"/>
  </cellStyles>
  <dxfs count="445">
    <dxf>
      <font>
        <b val="0"/>
        <i val="0"/>
        <strike val="0"/>
        <condense val="0"/>
        <extend val="0"/>
        <outline val="0"/>
        <shadow val="0"/>
        <u val="none"/>
        <vertAlign val="baseline"/>
        <sz val="11"/>
        <color theme="2"/>
        <name val="Source Sans Pro"/>
        <family val="2"/>
        <scheme val="none"/>
      </font>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fill>
        <patternFill patternType="solid">
          <fgColor indexed="64"/>
          <bgColor theme="2"/>
        </patternFill>
      </fill>
    </dxf>
    <dxf>
      <font>
        <b val="0"/>
        <i val="0"/>
        <strike val="0"/>
        <condense val="0"/>
        <extend val="0"/>
        <outline val="0"/>
        <shadow val="0"/>
        <u val="none"/>
        <vertAlign val="baseline"/>
        <sz val="11"/>
        <color theme="2"/>
        <name val="Source Sans Pro"/>
        <family val="2"/>
        <scheme val="none"/>
      </font>
      <numFmt numFmtId="171" formatCode="#,##0.0"/>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numFmt numFmtId="3" formatCode="#,##0"/>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numFmt numFmtId="3" formatCode="#,##0"/>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numFmt numFmtId="3" formatCode="#,##0"/>
      <fill>
        <patternFill patternType="solid">
          <fgColor indexed="64"/>
          <bgColor theme="2"/>
        </patternFill>
      </fill>
      <protection locked="1" hidden="0"/>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79998168889431442"/>
      </font>
      <fill>
        <patternFill>
          <bgColor theme="0" tint="-0.14996795556505021"/>
        </patternFill>
      </fill>
    </dxf>
    <dxf>
      <font>
        <color theme="4" tint="0.79998168889431442"/>
      </font>
      <fill>
        <patternFill>
          <bgColor theme="4" tint="0.79998168889431442"/>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A7D6EF"/>
      </font>
      <fill>
        <patternFill>
          <bgColor rgb="FFA7D6EF"/>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theme="3" tint="0.59996337778862885"/>
      </font>
      <fill>
        <patternFill>
          <bgColor theme="3" tint="0.59996337778862885"/>
        </patternFill>
      </fill>
    </dxf>
    <dxf>
      <font>
        <color theme="3" tint="0.59996337778862885"/>
      </font>
      <fill>
        <patternFill>
          <bgColor theme="3" tint="0.59996337778862885"/>
        </patternFill>
      </fill>
    </dxf>
    <dxf>
      <border>
        <left style="thin">
          <color auto="1"/>
        </left>
        <vertical/>
        <horizontal/>
      </border>
    </dxf>
    <dxf>
      <font>
        <color theme="0" tint="-0.14996795556505021"/>
      </font>
      <fill>
        <patternFill>
          <bgColor theme="0" tint="-0.14996795556505021"/>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0" tint="-0.14996795556505021"/>
      </font>
      <fill>
        <patternFill>
          <bgColor theme="0" tint="-0.14996795556505021"/>
        </patternFill>
      </fill>
    </dxf>
    <dxf>
      <font>
        <color theme="4" tint="0.79998168889431442"/>
      </font>
    </dxf>
    <dxf>
      <font>
        <color theme="0" tint="-0.14996795556505021"/>
      </font>
      <fill>
        <patternFill>
          <bgColor theme="0" tint="-0.14996795556505021"/>
        </patternFill>
      </fill>
    </dxf>
    <dxf>
      <font>
        <color theme="4" tint="0.79998168889431442"/>
      </font>
    </dxf>
    <dxf>
      <font>
        <color theme="0" tint="-0.14996795556505021"/>
      </font>
      <fill>
        <patternFill>
          <bgColor theme="0" tint="-0.14996795556505021"/>
        </patternFill>
      </fill>
    </dxf>
    <dxf>
      <font>
        <color theme="3" tint="0.59996337778862885"/>
      </font>
      <fill>
        <patternFill>
          <bgColor theme="3"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3" tint="0.59996337778862885"/>
      </font>
      <fill>
        <patternFill>
          <bgColor theme="3"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protection hidden="0"/>
    </dxf>
    <dxf>
      <border outline="0">
        <bottom style="thin">
          <color theme="4" tint="0.39997558519241921"/>
        </bottom>
      </border>
    </dxf>
    <dxf>
      <border outline="0">
        <top style="thin">
          <color theme="4" tint="0.39997558519241921"/>
        </top>
      </border>
    </dxf>
    <dxf>
      <fill>
        <patternFill patternType="solid">
          <fgColor indexed="64"/>
          <bgColor theme="0" tint="-0.14999847407452621"/>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protection hidden="0"/>
    </dxf>
    <dxf>
      <protection hidden="0"/>
    </dxf>
    <dxf>
      <protection hidden="0"/>
    </dxf>
    <dxf>
      <protection hidden="0"/>
    </dxf>
    <dxf>
      <border outline="0">
        <bottom style="thin">
          <color theme="4" tint="0.39997558519241921"/>
        </bottom>
      </border>
    </dxf>
    <dxf>
      <border outline="0">
        <left style="thin">
          <color theme="4" tint="0.39997558519241921"/>
        </left>
        <top style="thin">
          <color theme="4" tint="0.39997558519241921"/>
        </top>
      </border>
    </dxf>
    <dxf>
      <protection hidden="0"/>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protection hidden="0"/>
    </dxf>
    <dxf>
      <protection hidden="0"/>
    </dxf>
    <dxf>
      <protection hidden="0"/>
    </dxf>
    <dxf>
      <protection hidden="0"/>
    </dxf>
    <dxf>
      <border outline="0">
        <bottom style="thin">
          <color theme="4" tint="0.39997558519241921"/>
        </bottom>
      </border>
    </dxf>
    <dxf>
      <border outline="0">
        <left style="thin">
          <color theme="4" tint="0.39997558519241921"/>
        </left>
        <top style="thin">
          <color theme="4" tint="0.39997558519241921"/>
        </top>
      </border>
    </dxf>
    <dxf>
      <protection hidden="0"/>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protection hidden="0"/>
    </dxf>
    <dxf>
      <protection hidden="0"/>
    </dxf>
    <dxf>
      <protection hidden="0"/>
    </dxf>
    <dxf>
      <protection hidden="0"/>
    </dxf>
    <dxf>
      <border outline="0">
        <bottom style="thin">
          <color theme="4" tint="0.39997558519241921"/>
        </bottom>
      </border>
    </dxf>
    <dxf>
      <border outline="0">
        <left style="thin">
          <color theme="4" tint="0.39997558519241921"/>
        </left>
        <top style="thin">
          <color theme="4" tint="0.39997558519241921"/>
        </top>
      </border>
    </dxf>
    <dxf>
      <protection hidden="0"/>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protection hidden="0"/>
    </dxf>
    <dxf>
      <protection hidden="0"/>
    </dxf>
    <dxf>
      <protection hidden="0"/>
    </dxf>
    <dxf>
      <protection hidden="0"/>
    </dxf>
    <dxf>
      <border outline="0">
        <bottom style="thin">
          <color theme="4" tint="0.39997558519241921"/>
        </bottom>
      </border>
    </dxf>
    <dxf>
      <border outline="0">
        <left style="thin">
          <color theme="4" tint="0.39997558519241921"/>
        </left>
        <top style="thin">
          <color theme="4" tint="0.39997558519241921"/>
        </top>
      </border>
    </dxf>
    <dxf>
      <protection hidden="0"/>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protection hidden="0"/>
    </dxf>
    <dxf>
      <fill>
        <patternFill patternType="solid">
          <fgColor indexed="64"/>
          <bgColor theme="0" tint="-0.14999847407452621"/>
        </patternFill>
      </fill>
      <alignment horizontal="center" vertical="center" textRotation="0" wrapText="0" indent="0" justifyLastLine="0" shrinkToFit="0" readingOrder="0"/>
      <protection locked="0" hidden="0"/>
    </dxf>
    <dxf>
      <protection hidden="0"/>
    </dxf>
    <dxf>
      <protection hidden="0"/>
    </dxf>
    <dxf>
      <protection hidden="0"/>
    </dxf>
    <dxf>
      <protection hidden="0"/>
    </dxf>
    <dxf>
      <protection hidden="0"/>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style="thin">
          <color theme="4" tint="0.39997558519241921"/>
        </left>
        <right/>
        <top style="thin">
          <color theme="4" tint="0.39997558519241921"/>
        </top>
        <bottom style="thin">
          <color theme="4" tint="0.39997558519241921"/>
        </bottom>
        <vertical/>
        <horizontal/>
      </border>
    </dxf>
    <dxf>
      <protection hidden="0"/>
    </dxf>
    <dxf>
      <protection hidden="0"/>
    </dxf>
    <dxf>
      <protection hidden="0"/>
    </dxf>
    <dxf>
      <protection hidden="0"/>
    </dxf>
    <dxf>
      <protection hidden="0"/>
    </dxf>
    <dxf>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font>
        <b val="0"/>
        <i val="0"/>
        <strike val="0"/>
        <condense val="0"/>
        <extend val="0"/>
        <outline val="0"/>
        <shadow val="0"/>
        <u val="none"/>
        <vertAlign val="baseline"/>
        <sz val="11"/>
        <color auto="1"/>
        <name val="Calibri"/>
        <family val="2"/>
        <scheme val="minor"/>
      </font>
      <fill>
        <patternFill patternType="solid">
          <fgColor theme="4"/>
          <bgColor theme="4" tint="-0.249977111117893"/>
        </patternFill>
      </fill>
      <protection hidden="0"/>
    </dxf>
    <dxf>
      <font>
        <b/>
        <i val="0"/>
        <strike val="0"/>
        <condense val="0"/>
        <extend val="0"/>
        <outline val="0"/>
        <shadow val="0"/>
        <u val="none"/>
        <vertAlign val="baseline"/>
        <sz val="11"/>
        <color theme="0"/>
        <name val="Calibri"/>
        <family val="2"/>
        <scheme val="minor"/>
      </font>
      <fill>
        <patternFill patternType="solid">
          <fgColor theme="4"/>
          <bgColor theme="4" tint="-0.249977111117893"/>
        </patternFill>
      </fill>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border>
      <protection hidden="0"/>
    </dxf>
    <dxf>
      <numFmt numFmtId="1" formatCode="0"/>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protection hidden="0"/>
    </dxf>
    <dxf>
      <protection hidden="0"/>
    </dxf>
    <dxf>
      <protection hidden="0"/>
    </dxf>
    <dxf>
      <protection hidden="0"/>
    </dxf>
    <dxf>
      <protection hidden="0"/>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protection hidden="0"/>
    </dxf>
    <dxf>
      <font>
        <b val="0"/>
        <i val="0"/>
        <strike val="0"/>
        <condense val="0"/>
        <extend val="0"/>
        <outline val="0"/>
        <shadow val="0"/>
        <u val="none"/>
        <vertAlign val="baseline"/>
        <sz val="11"/>
        <color theme="1"/>
        <name val="Calibri"/>
        <family val="2"/>
        <scheme val="minor"/>
      </font>
      <border diagonalUp="0" diagonalDown="0">
        <left/>
        <right style="thin">
          <color theme="4" tint="0.39997558519241921"/>
        </right>
        <top style="thin">
          <color theme="4" tint="0.39997558519241921"/>
        </top>
        <bottom style="thin">
          <color theme="4" tint="0.39997558519241921"/>
        </bottom>
      </border>
      <protection hidden="0"/>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4" tint="0.39997558519241921"/>
        </top>
        <bottom style="thin">
          <color theme="4" tint="0.39997558519241921"/>
        </bottom>
      </border>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border>
      <protection hidden="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border outline="0">
        <left style="thin">
          <color theme="4" tint="0.39997558519241921"/>
        </lef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border outline="0">
        <left style="thin">
          <color theme="4" tint="0.39997558519241921"/>
        </lef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protection hidden="0"/>
    </dxf>
    <dxf>
      <border outline="0">
        <left style="thin">
          <color theme="4" tint="0.39997558519241921"/>
        </lef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fill>
        <patternFill patternType="solid">
          <fgColor indexed="64"/>
          <bgColor theme="4" tint="-0.249977111117893"/>
        </patternFill>
      </fill>
      <protection hidden="0"/>
    </dxf>
    <dxf>
      <numFmt numFmtId="1" formatCode="0"/>
      <fill>
        <patternFill patternType="solid">
          <fgColor indexed="64"/>
          <bgColor theme="4" tint="-0.249977111117893"/>
        </patternFill>
      </fill>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numFmt numFmtId="1" formatCode="0"/>
      <fill>
        <patternFill patternType="solid">
          <fgColor indexed="64"/>
          <bgColor theme="4"/>
        </patternFill>
      </fill>
      <alignment horizontal="center" vertical="bottom" textRotation="0" wrapText="0" indent="0" justifyLastLine="0" shrinkToFit="0" readingOrder="0"/>
      <protection locked="1" hidden="0"/>
    </dxf>
    <dxf>
      <protection hidden="0"/>
    </dxf>
    <dxf>
      <protection hidden="0"/>
    </dxf>
    <dxf>
      <protection hidden="0"/>
    </dxf>
    <dxf>
      <protection hidden="0"/>
    </dxf>
    <dxf>
      <protection hidden="0"/>
    </dxf>
    <dxf>
      <alignment horizontal="right" vertical="bottom" textRotation="0" wrapText="0" indent="0" justifyLastLine="0" shrinkToFit="0" readingOrder="0"/>
      <protection hidden="0"/>
    </dxf>
    <dxf>
      <alignment horizontal="right" vertical="bottom" textRotation="0" wrapText="0" indent="0" justifyLastLine="0" shrinkToFit="0" readingOrder="0"/>
      <protection hidden="0"/>
    </dxf>
    <dxf>
      <alignment horizontal="right" vertical="bottom" textRotation="0" wrapText="0" indent="0" justifyLastLine="0" shrinkToFit="0" readingOrder="0"/>
      <protection hidden="0"/>
    </dxf>
    <dxf>
      <protection hidden="0"/>
    </dxf>
    <dxf>
      <alignment horizontal="right" vertical="bottom" textRotation="0" wrapText="0" indent="0" justifyLastLine="0" shrinkToFit="0" readingOrder="0"/>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numFmt numFmtId="1" formatCode="0"/>
      <fill>
        <patternFill patternType="solid">
          <fgColor indexed="64"/>
          <bgColor theme="4"/>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bgColor theme="4" tint="-0.249977111117893"/>
        </patternFill>
      </fill>
      <border diagonalUp="0" diagonalDown="0">
        <left/>
        <right style="thin">
          <color theme="4" tint="0.39997558519241921"/>
        </right>
        <top style="thin">
          <color theme="4" tint="0.39997558519241921"/>
        </top>
        <bottom style="thin">
          <color theme="4" tint="0.39997558519241921"/>
        </bottom>
      </border>
      <protection hidden="0"/>
    </dxf>
    <dxf>
      <font>
        <b val="0"/>
        <i val="0"/>
        <strike val="0"/>
        <condense val="0"/>
        <extend val="0"/>
        <outline val="0"/>
        <shadow val="0"/>
        <u val="none"/>
        <vertAlign val="baseline"/>
        <sz val="11"/>
        <color theme="1"/>
        <name val="Calibri"/>
        <family val="2"/>
        <scheme val="minor"/>
      </font>
      <fill>
        <patternFill>
          <bgColor theme="4" tint="-0.249977111117893"/>
        </patternFill>
      </fill>
      <border diagonalUp="0" diagonalDown="0">
        <left/>
        <right/>
        <top style="thin">
          <color theme="4" tint="0.39997558519241921"/>
        </top>
        <bottom style="thin">
          <color theme="4" tint="0.39997558519241921"/>
        </bottom>
      </border>
      <protection hidden="0"/>
    </dxf>
    <dxf>
      <protection hidden="0"/>
    </dxf>
    <dxf>
      <protection hidden="0"/>
    </dxf>
    <dxf>
      <protection hidden="0"/>
    </dxf>
    <dxf>
      <numFmt numFmtId="2" formatCode="0.00"/>
      <fill>
        <patternFill patternType="solid">
          <fgColor indexed="64"/>
          <bgColor theme="4"/>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border>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protection hidden="0"/>
    </dxf>
    <dxf>
      <protection hidden="0"/>
    </dxf>
    <dxf>
      <protection hidden="0"/>
    </dxf>
    <dxf>
      <protection hidden="0"/>
    </dxf>
    <dxf>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protection hidden="0"/>
    </dxf>
    <dxf>
      <protection hidden="0"/>
    </dxf>
    <dxf>
      <protection hidden="0"/>
    </dxf>
    <dxf>
      <protection hidden="0"/>
    </dxf>
    <dxf>
      <protection hidden="0"/>
    </dxf>
    <dxf>
      <fill>
        <patternFill patternType="solid">
          <fgColor indexed="64"/>
          <bgColor theme="4"/>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protection hidden="0"/>
    </dxf>
    <dxf>
      <alignment horizontal="right" vertical="bottom" textRotation="0" wrapText="0" indent="0" justifyLastLine="0" shrinkToFit="0" readingOrder="0"/>
      <protection hidden="0"/>
    </dxf>
    <dxf>
      <protection hidden="0"/>
    </dxf>
    <dxf>
      <protection hidden="0"/>
    </dxf>
    <dxf>
      <protection hidden="0"/>
    </dxf>
    <dxf>
      <protection hidden="0"/>
    </dxf>
    <dxf>
      <font>
        <b val="0"/>
        <i val="0"/>
        <strike val="0"/>
        <condense val="0"/>
        <extend val="0"/>
        <outline val="0"/>
        <shadow val="0"/>
        <u val="none"/>
        <vertAlign val="baseline"/>
        <sz val="11"/>
        <color theme="1"/>
        <name val="Calibri"/>
        <family val="2"/>
        <scheme val="minor"/>
      </font>
      <border diagonalUp="0" diagonalDown="0">
        <left/>
        <right style="thin">
          <color theme="4" tint="0.39997558519241921"/>
        </right>
        <top style="thin">
          <color theme="4" tint="0.39997558519241921"/>
        </top>
        <bottom style="thin">
          <color theme="4" tint="0.39997558519241921"/>
        </bottom>
        <vertical/>
        <horizontal/>
      </border>
      <protection hidden="0"/>
    </dxf>
    <dxf>
      <protection hidden="0"/>
    </dxf>
    <dxf>
      <protection hidden="0"/>
    </dxf>
    <dxf>
      <protection hidden="0"/>
    </dxf>
    <dxf>
      <protection hidden="0"/>
    </dxf>
    <dxf>
      <protection hidden="0"/>
    </dxf>
    <dxf>
      <protection hidden="0"/>
    </dxf>
    <dxf>
      <protection hidden="0"/>
    </dxf>
    <dxf>
      <protection hidden="0"/>
    </dxf>
    <dxf>
      <protection hidden="0"/>
    </dxf>
    <dxf>
      <fill>
        <patternFill patternType="solid">
          <fgColor indexed="64"/>
          <bgColor theme="4"/>
        </patternFill>
      </fill>
      <alignment horizontal="center" vertical="bottom" textRotation="0" wrapText="0"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protection hidden="0"/>
    </dxf>
    <dxf>
      <protection hidden="0"/>
    </dxf>
    <dxf>
      <protection hidden="0"/>
    </dxf>
    <dxf>
      <protection hidden="0"/>
    </dxf>
    <dxf>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protection hidden="0"/>
    </dxf>
    <dxf>
      <protection hidden="0"/>
    </dxf>
    <dxf>
      <protection hidden="0"/>
    </dxf>
    <dxf>
      <border outline="0">
        <right style="thin">
          <color theme="4" tint="0.39997558519241921"/>
        </righ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fill>
        <patternFill patternType="solid">
          <fgColor indexed="64"/>
          <bgColor theme="4"/>
        </patternFill>
      </fill>
      <protection hidden="0"/>
    </dxf>
    <dxf>
      <protection hidden="0"/>
    </dxf>
    <dxf>
      <protection hidden="0"/>
    </dxf>
    <dxf>
      <protection hidden="0"/>
    </dxf>
    <dxf>
      <numFmt numFmtId="0" formatCode="General"/>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numFmt numFmtId="0" formatCode="General"/>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4"/>
        </patternFill>
      </fill>
    </dxf>
    <dxf>
      <border diagonalUp="0" diagonalDown="0">
        <left/>
        <right/>
        <top/>
        <bottom/>
        <vertical/>
        <horizontal/>
      </border>
    </dxf>
    <dxf>
      <fill>
        <patternFill patternType="solid">
          <bgColor theme="7"/>
        </patternFill>
      </fill>
    </dxf>
  </dxfs>
  <tableStyles count="2" defaultTableStyle="TableStyleMedium2" defaultPivotStyle="PivotStyleLight16">
    <tableStyle name="Slicer Style 1" pivot="0" table="0" count="1" xr9:uid="{B2341F9B-BF36-4692-9CDD-12ECF1F8A152}">
      <tableStyleElement type="wholeTable" dxfId="444"/>
    </tableStyle>
    <tableStyle name="Slicer Style 2" pivot="0" table="0" count="1" xr9:uid="{F295FCE9-1379-44B0-87F7-A7DD6E65F937}">
      <tableStyleElement type="wholeTable" dxfId="443"/>
    </tableStyle>
  </tableStyles>
  <colors>
    <mruColors>
      <color rgb="FFA7D6EF"/>
      <color rgb="FFB6DA9E"/>
      <color rgb="FF830D27"/>
      <color rgb="FFFFCC99"/>
      <color rgb="FFFFFF66"/>
      <color rgb="FFF8696B"/>
      <color rgb="FF63BE7B"/>
      <color rgb="FF123947"/>
      <color rgb="FFD2674E"/>
      <color rgb="FFC5D6EF"/>
    </mruColors>
  </colors>
  <extLst>
    <ext xmlns:x14="http://schemas.microsoft.com/office/spreadsheetml/2009/9/main" uri="{EB79DEF2-80B8-43e5-95BD-54CBDDF9020C}">
      <x14:slicerStyles defaultSlicerStyle="SlicerStyleLight1">
        <x14:slicerStyle name="Slicer Style 1"/>
        <x14:slicerStyle name="Slicer Style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CO</a:t>
            </a:r>
            <a:r>
              <a:rPr lang="da-DK" baseline="-25000"/>
              <a:t>2</a:t>
            </a:r>
            <a:r>
              <a:rPr lang="da-DK"/>
              <a:t> udledning for bygningen</a:t>
            </a:r>
            <a:br>
              <a:rPr lang="da-DK"/>
            </a:br>
            <a:r>
              <a:rPr lang="da-DK"/>
              <a:t>[</a:t>
            </a:r>
            <a:r>
              <a:rPr lang="da-DK" sz="1400" b="0" i="0" u="none" strike="noStrike" baseline="0">
                <a:effectLst/>
              </a:rPr>
              <a:t>kg CO</a:t>
            </a:r>
            <a:r>
              <a:rPr lang="da-DK" sz="1400" b="0" i="0" u="none" strike="noStrike" baseline="-25000">
                <a:effectLst/>
              </a:rPr>
              <a:t>2</a:t>
            </a:r>
            <a:r>
              <a:rPr lang="da-DK" sz="1400" b="0" i="0" u="none" strike="noStrike" baseline="0">
                <a:effectLst/>
              </a:rPr>
              <a:t> pr. m</a:t>
            </a:r>
            <a:r>
              <a:rPr lang="da-DK" sz="1400" b="0" i="0" u="none" strike="noStrike" baseline="30000">
                <a:effectLst/>
              </a:rPr>
              <a:t>2</a:t>
            </a:r>
            <a:r>
              <a:rPr lang="da-DK" sz="1400" b="0" i="0" u="none" strike="noStrike" baseline="0">
                <a:effectLst/>
              </a:rPr>
              <a:t> opvarmet areal pr. år</a:t>
            </a:r>
            <a:r>
              <a:rPr lang="da-DK" baseline="0"/>
              <a:t>]</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9421-4AFF-A35A-7D6C484B1769}"/>
              </c:ext>
            </c:extLst>
          </c:dPt>
          <c:dPt>
            <c:idx val="1"/>
            <c:invertIfNegative val="0"/>
            <c:bubble3D val="0"/>
            <c:spPr>
              <a:solidFill>
                <a:srgbClr val="A7D6EF"/>
              </a:solidFill>
              <a:ln>
                <a:noFill/>
              </a:ln>
              <a:effectLst/>
            </c:spPr>
            <c:extLst>
              <c:ext xmlns:c16="http://schemas.microsoft.com/office/drawing/2014/chart" uri="{C3380CC4-5D6E-409C-BE32-E72D297353CC}">
                <c16:uniqueId val="{00000003-9421-4AFF-A35A-7D6C484B1769}"/>
              </c:ext>
            </c:extLst>
          </c:dPt>
          <c:dPt>
            <c:idx val="2"/>
            <c:invertIfNegative val="0"/>
            <c:bubble3D val="0"/>
            <c:spPr>
              <a:solidFill>
                <a:schemeClr val="tx2"/>
              </a:solidFill>
              <a:ln>
                <a:noFill/>
              </a:ln>
              <a:effectLst/>
            </c:spPr>
            <c:extLst>
              <c:ext xmlns:c16="http://schemas.microsoft.com/office/drawing/2014/chart" uri="{C3380CC4-5D6E-409C-BE32-E72D297353CC}">
                <c16:uniqueId val="{00000005-9421-4AFF-A35A-7D6C484B1769}"/>
              </c:ext>
            </c:extLst>
          </c:dPt>
          <c:dPt>
            <c:idx val="3"/>
            <c:invertIfNegative val="0"/>
            <c:bubble3D val="0"/>
            <c:spPr>
              <a:solidFill>
                <a:schemeClr val="tx2"/>
              </a:solidFill>
              <a:ln>
                <a:noFill/>
              </a:ln>
              <a:effectLst/>
            </c:spPr>
            <c:extLst>
              <c:ext xmlns:c16="http://schemas.microsoft.com/office/drawing/2014/chart" uri="{C3380CC4-5D6E-409C-BE32-E72D297353CC}">
                <c16:uniqueId val="{00000007-9421-4AFF-A35A-7D6C484B1769}"/>
              </c:ext>
            </c:extLst>
          </c:dPt>
          <c:cat>
            <c:strRef>
              <c:f>Scenarier!$BI$49:$BI$52</c:f>
              <c:strCache>
                <c:ptCount val="4"/>
                <c:pt idx="0">
                  <c:v>Scenarie 1</c:v>
                </c:pt>
                <c:pt idx="1">
                  <c:v>Scenarie 2</c:v>
                </c:pt>
                <c:pt idx="2">
                  <c:v>Bygningsreglementets krav</c:v>
                </c:pt>
                <c:pt idx="3">
                  <c:v>Lavemissionsklasse</c:v>
                </c:pt>
              </c:strCache>
            </c:strRef>
          </c:cat>
          <c:val>
            <c:numRef>
              <c:f>Scenarier!$BL$49:$BL$52</c:f>
              <c:numCache>
                <c:formatCode>0.0</c:formatCode>
                <c:ptCount val="4"/>
                <c:pt idx="0">
                  <c:v>12.342302812610082</c:v>
                </c:pt>
                <c:pt idx="1">
                  <c:v>7.3335901884053136</c:v>
                </c:pt>
                <c:pt idx="2" formatCode="General">
                  <c:v>12</c:v>
                </c:pt>
                <c:pt idx="3" formatCode="General">
                  <c:v>8</c:v>
                </c:pt>
              </c:numCache>
            </c:numRef>
          </c:val>
          <c:extLst>
            <c:ext xmlns:c16="http://schemas.microsoft.com/office/drawing/2014/chart" uri="{C3380CC4-5D6E-409C-BE32-E72D297353CC}">
              <c16:uniqueId val="{00000008-9421-4AFF-A35A-7D6C484B1769}"/>
            </c:ext>
          </c:extLst>
        </c:ser>
        <c:dLbls>
          <c:showLegendKey val="0"/>
          <c:showVal val="0"/>
          <c:showCatName val="0"/>
          <c:showSerName val="0"/>
          <c:showPercent val="0"/>
          <c:showBubbleSize val="0"/>
        </c:dLbls>
        <c:gapWidth val="219"/>
        <c:overlap val="-27"/>
        <c:axId val="732894080"/>
        <c:axId val="711517808"/>
      </c:barChart>
      <c:catAx>
        <c:axId val="73289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a-DK"/>
          </a:p>
        </c:txPr>
        <c:crossAx val="711517808"/>
        <c:crosses val="autoZero"/>
        <c:auto val="1"/>
        <c:lblAlgn val="ctr"/>
        <c:lblOffset val="100"/>
        <c:noMultiLvlLbl val="0"/>
      </c:catAx>
      <c:valAx>
        <c:axId val="71151780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crossAx val="732894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Scenarier!$AB$141</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0-FC91-454A-94F4-A0D86AD826A1}"/>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FC91-454A-94F4-A0D86AD826A1}"/>
              </c:ext>
            </c:extLst>
          </c:dPt>
          <c:cat>
            <c:strRef>
              <c:f>Scenarier!$AA$142:$AA$143</c:f>
              <c:strCache>
                <c:ptCount val="2"/>
                <c:pt idx="0">
                  <c:v>Scenarie 1</c:v>
                </c:pt>
                <c:pt idx="1">
                  <c:v>Scenarie 2</c:v>
                </c:pt>
              </c:strCache>
            </c:strRef>
          </c:cat>
          <c:val>
            <c:numRef>
              <c:f>Scenarier!$AB$142:$AB$143</c:f>
              <c:numCache>
                <c:formatCode>General</c:formatCode>
                <c:ptCount val="2"/>
                <c:pt idx="0">
                  <c:v>1.0322537545784616</c:v>
                </c:pt>
                <c:pt idx="1">
                  <c:v>0.28639657637966121</c:v>
                </c:pt>
              </c:numCache>
            </c:numRef>
          </c:val>
          <c:extLst>
            <c:ext xmlns:c16="http://schemas.microsoft.com/office/drawing/2014/chart" uri="{C3380CC4-5D6E-409C-BE32-E72D297353CC}">
              <c16:uniqueId val="{00000000-431D-4409-84B8-327696E1EABC}"/>
            </c:ext>
          </c:extLst>
        </c:ser>
        <c:ser>
          <c:idx val="1"/>
          <c:order val="1"/>
          <c:tx>
            <c:strRef>
              <c:f>Scenarier!$AC$141</c:f>
              <c:strCache>
                <c:ptCount val="1"/>
                <c:pt idx="0">
                  <c:v>CO2 varmetab</c:v>
                </c:pt>
              </c:strCache>
            </c:strRef>
          </c:tx>
          <c:spPr>
            <a:solidFill>
              <a:schemeClr val="accent1"/>
            </a:solidFill>
            <a:ln>
              <a:noFill/>
            </a:ln>
            <a:effectLst/>
          </c:spPr>
          <c:invertIfNegative val="0"/>
          <c:cat>
            <c:strRef>
              <c:f>Scenarier!$AA$142:$AA$143</c:f>
              <c:strCache>
                <c:ptCount val="2"/>
                <c:pt idx="0">
                  <c:v>Scenarie 1</c:v>
                </c:pt>
                <c:pt idx="1">
                  <c:v>Scenarie 2</c:v>
                </c:pt>
              </c:strCache>
            </c:strRef>
          </c:cat>
          <c:val>
            <c:numRef>
              <c:f>Scenarier!$AC$142:$AC$143</c:f>
              <c:numCache>
                <c:formatCode>General</c:formatCode>
                <c:ptCount val="2"/>
                <c:pt idx="0">
                  <c:v>0.27569548844421471</c:v>
                </c:pt>
                <c:pt idx="1">
                  <c:v>0.29767551622418875</c:v>
                </c:pt>
              </c:numCache>
            </c:numRef>
          </c:val>
          <c:extLst>
            <c:ext xmlns:c16="http://schemas.microsoft.com/office/drawing/2014/chart" uri="{C3380CC4-5D6E-409C-BE32-E72D297353CC}">
              <c16:uniqueId val="{00000001-431D-4409-84B8-327696E1EABC}"/>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789114418934151"/>
          <c:y val="7.2632893656544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9DF2-4F1A-92C1-8E81AD9B9474}"/>
              </c:ext>
            </c:extLst>
          </c:dPt>
          <c:dPt>
            <c:idx val="1"/>
            <c:invertIfNegative val="0"/>
            <c:bubble3D val="0"/>
            <c:spPr>
              <a:solidFill>
                <a:srgbClr val="A7D6EF"/>
              </a:solidFill>
              <a:ln>
                <a:noFill/>
              </a:ln>
              <a:effectLst/>
            </c:spPr>
            <c:extLst>
              <c:ext xmlns:c16="http://schemas.microsoft.com/office/drawing/2014/chart" uri="{C3380CC4-5D6E-409C-BE32-E72D297353CC}">
                <c16:uniqueId val="{00000003-9DF2-4F1A-92C1-8E81AD9B9474}"/>
              </c:ext>
            </c:extLst>
          </c:dPt>
          <c:cat>
            <c:strRef>
              <c:f>Scenarier!$AA$202:$AA$203</c:f>
              <c:strCache>
                <c:ptCount val="2"/>
                <c:pt idx="0">
                  <c:v>Scenarie 1</c:v>
                </c:pt>
                <c:pt idx="1">
                  <c:v>Scenarie 2</c:v>
                </c:pt>
              </c:strCache>
            </c:strRef>
          </c:cat>
          <c:val>
            <c:numRef>
              <c:f>Scenarier!$AB$202:$AB$203</c:f>
              <c:numCache>
                <c:formatCode>General</c:formatCode>
                <c:ptCount val="2"/>
                <c:pt idx="0">
                  <c:v>1.2695860192999999</c:v>
                </c:pt>
                <c:pt idx="1">
                  <c:v>0.72779971547857203</c:v>
                </c:pt>
              </c:numCache>
            </c:numRef>
          </c:val>
          <c:extLst>
            <c:ext xmlns:c16="http://schemas.microsoft.com/office/drawing/2014/chart" uri="{C3380CC4-5D6E-409C-BE32-E72D297353CC}">
              <c16:uniqueId val="{00000004-9DF2-4F1A-92C1-8E81AD9B9474}"/>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Scenarier!$AB$201</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0-5C9A-4458-9C78-6BD85751EB27}"/>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5C9A-4458-9C78-6BD85751EB27}"/>
              </c:ext>
            </c:extLst>
          </c:dPt>
          <c:cat>
            <c:strRef>
              <c:f>Scenarier!$AA$202:$AA$203</c:f>
              <c:strCache>
                <c:ptCount val="2"/>
                <c:pt idx="0">
                  <c:v>Scenarie 1</c:v>
                </c:pt>
                <c:pt idx="1">
                  <c:v>Scenarie 2</c:v>
                </c:pt>
              </c:strCache>
            </c:strRef>
          </c:cat>
          <c:val>
            <c:numRef>
              <c:f>Scenarier!$AB$202:$AB$203</c:f>
              <c:numCache>
                <c:formatCode>General</c:formatCode>
                <c:ptCount val="2"/>
                <c:pt idx="0">
                  <c:v>1.2695860192999999</c:v>
                </c:pt>
                <c:pt idx="1">
                  <c:v>0.72779971547857203</c:v>
                </c:pt>
              </c:numCache>
            </c:numRef>
          </c:val>
          <c:extLst>
            <c:ext xmlns:c16="http://schemas.microsoft.com/office/drawing/2014/chart" uri="{C3380CC4-5D6E-409C-BE32-E72D297353CC}">
              <c16:uniqueId val="{00000000-31CE-456E-A036-96BF6C317188}"/>
            </c:ext>
          </c:extLst>
        </c:ser>
        <c:ser>
          <c:idx val="1"/>
          <c:order val="1"/>
          <c:tx>
            <c:strRef>
              <c:f>Scenarier!$AC$201</c:f>
              <c:strCache>
                <c:ptCount val="1"/>
                <c:pt idx="0">
                  <c:v>CO2 varmetab</c:v>
                </c:pt>
              </c:strCache>
            </c:strRef>
          </c:tx>
          <c:spPr>
            <a:solidFill>
              <a:schemeClr val="accent1"/>
            </a:solidFill>
            <a:ln>
              <a:noFill/>
            </a:ln>
            <a:effectLst/>
          </c:spPr>
          <c:invertIfNegative val="0"/>
          <c:cat>
            <c:strRef>
              <c:f>Scenarier!$AA$202:$AA$203</c:f>
              <c:strCache>
                <c:ptCount val="2"/>
                <c:pt idx="0">
                  <c:v>Scenarie 1</c:v>
                </c:pt>
                <c:pt idx="1">
                  <c:v>Scenarie 2</c:v>
                </c:pt>
              </c:strCache>
            </c:strRef>
          </c:cat>
          <c:val>
            <c:numRef>
              <c:f>Scenarier!$AC$202:$AC$203</c:f>
              <c:numCache>
                <c:formatCode>General</c:formatCode>
                <c:ptCount val="2"/>
                <c:pt idx="0">
                  <c:v>0.1927288558848656</c:v>
                </c:pt>
                <c:pt idx="1">
                  <c:v>0.19885444035733052</c:v>
                </c:pt>
              </c:numCache>
            </c:numRef>
          </c:val>
          <c:extLst>
            <c:ext xmlns:c16="http://schemas.microsoft.com/office/drawing/2014/chart" uri="{C3380CC4-5D6E-409C-BE32-E72D297353CC}">
              <c16:uniqueId val="{00000001-31CE-456E-A036-96BF6C317188}"/>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37932.597864930933</c:v>
                      </c:pt>
                    </c:numCache>
                  </c:numRef>
                </c:val>
                <c:extLst>
                  <c:ext xmlns:c16="http://schemas.microsoft.com/office/drawing/2014/chart" uri="{C3380CC4-5D6E-409C-BE32-E72D297353CC}">
                    <c16:uniqueId val="{00000000-F90E-45C4-A58A-D2DFB152803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5.3154307118311577</c:v>
                      </c:pt>
                    </c:numCache>
                  </c:numRef>
                </c:val>
                <c:extLst xmlns:c15="http://schemas.microsoft.com/office/drawing/2012/chart">
                  <c:ext xmlns:c16="http://schemas.microsoft.com/office/drawing/2014/chart" uri="{C3380CC4-5D6E-409C-BE32-E72D297353CC}">
                    <c16:uniqueId val="{00000001-F90E-45C4-A58A-D2DFB1528030}"/>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425750260280023"/>
          <c:y val="9.24658825755835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4067-4267-9607-6C1FBA5E98E1}"/>
              </c:ext>
            </c:extLst>
          </c:dPt>
          <c:dPt>
            <c:idx val="1"/>
            <c:invertIfNegative val="0"/>
            <c:bubble3D val="0"/>
            <c:spPr>
              <a:solidFill>
                <a:srgbClr val="A7D6EF"/>
              </a:solidFill>
              <a:ln>
                <a:noFill/>
              </a:ln>
              <a:effectLst/>
            </c:spPr>
            <c:extLst>
              <c:ext xmlns:c16="http://schemas.microsoft.com/office/drawing/2014/chart" uri="{C3380CC4-5D6E-409C-BE32-E72D297353CC}">
                <c16:uniqueId val="{00000003-4067-4267-9607-6C1FBA5E98E1}"/>
              </c:ext>
            </c:extLst>
          </c:dPt>
          <c:cat>
            <c:strRef>
              <c:f>Scenarier!$AA$287:$AA$288</c:f>
              <c:strCache>
                <c:ptCount val="2"/>
                <c:pt idx="0">
                  <c:v>Scenarie 1</c:v>
                </c:pt>
                <c:pt idx="1">
                  <c:v>Scenarie 2</c:v>
                </c:pt>
              </c:strCache>
            </c:strRef>
          </c:cat>
          <c:val>
            <c:numRef>
              <c:f>Scenarier!$AB$287:$AB$288</c:f>
              <c:numCache>
                <c:formatCode>General</c:formatCode>
                <c:ptCount val="2"/>
                <c:pt idx="0">
                  <c:v>1.2257166239999999</c:v>
                </c:pt>
                <c:pt idx="1">
                  <c:v>1.2257166239999999</c:v>
                </c:pt>
              </c:numCache>
            </c:numRef>
          </c:val>
          <c:extLst>
            <c:ext xmlns:c16="http://schemas.microsoft.com/office/drawing/2014/chart" uri="{C3380CC4-5D6E-409C-BE32-E72D297353CC}">
              <c16:uniqueId val="{00000004-4067-4267-9607-6C1FBA5E98E1}"/>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Scenarier!$AB$286</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0-8410-45ED-8B47-148855BD7E1F}"/>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8410-45ED-8B47-148855BD7E1F}"/>
              </c:ext>
            </c:extLst>
          </c:dPt>
          <c:cat>
            <c:strRef>
              <c:f>Scenarier!$AA$287:$AA$288</c:f>
              <c:strCache>
                <c:ptCount val="2"/>
                <c:pt idx="0">
                  <c:v>Scenarie 1</c:v>
                </c:pt>
                <c:pt idx="1">
                  <c:v>Scenarie 2</c:v>
                </c:pt>
              </c:strCache>
            </c:strRef>
          </c:cat>
          <c:val>
            <c:numRef>
              <c:f>Scenarier!$AB$287:$AB$288</c:f>
              <c:numCache>
                <c:formatCode>General</c:formatCode>
                <c:ptCount val="2"/>
                <c:pt idx="0">
                  <c:v>1.2257166239999999</c:v>
                </c:pt>
                <c:pt idx="1">
                  <c:v>1.2257166239999999</c:v>
                </c:pt>
              </c:numCache>
            </c:numRef>
          </c:val>
          <c:extLst>
            <c:ext xmlns:c16="http://schemas.microsoft.com/office/drawing/2014/chart" uri="{C3380CC4-5D6E-409C-BE32-E72D297353CC}">
              <c16:uniqueId val="{00000000-03CA-47D1-9D90-52D1B6F172B2}"/>
            </c:ext>
          </c:extLst>
        </c:ser>
        <c:ser>
          <c:idx val="1"/>
          <c:order val="1"/>
          <c:tx>
            <c:strRef>
              <c:f>Scenarier!$AC$286</c:f>
              <c:strCache>
                <c:ptCount val="1"/>
                <c:pt idx="0">
                  <c:v>CO2 varmetab</c:v>
                </c:pt>
              </c:strCache>
            </c:strRef>
          </c:tx>
          <c:spPr>
            <a:solidFill>
              <a:schemeClr val="accent1"/>
            </a:solidFill>
            <a:ln>
              <a:noFill/>
            </a:ln>
            <a:effectLst/>
          </c:spPr>
          <c:invertIfNegative val="0"/>
          <c:cat>
            <c:strRef>
              <c:f>Scenarier!$AA$287:$AA$288</c:f>
              <c:strCache>
                <c:ptCount val="2"/>
                <c:pt idx="0">
                  <c:v>Scenarie 1</c:v>
                </c:pt>
                <c:pt idx="1">
                  <c:v>Scenarie 2</c:v>
                </c:pt>
              </c:strCache>
            </c:strRef>
          </c:cat>
          <c:val>
            <c:numRef>
              <c:f>Scenarier!$AC$287:$AC$288</c:f>
              <c:numCache>
                <c:formatCode>General</c:formatCode>
                <c:ptCount val="2"/>
                <c:pt idx="0">
                  <c:v>0.95906764800000033</c:v>
                </c:pt>
                <c:pt idx="1">
                  <c:v>0.95906764800000033</c:v>
                </c:pt>
              </c:numCache>
            </c:numRef>
          </c:val>
          <c:extLst>
            <c:ext xmlns:c16="http://schemas.microsoft.com/office/drawing/2014/chart" uri="{C3380CC4-5D6E-409C-BE32-E72D297353CC}">
              <c16:uniqueId val="{00000001-03CA-47D1-9D90-52D1B6F172B2}"/>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a:t>
            </a:r>
            <a:r>
              <a:rPr lang="da-DK" sz="1200" baseline="0"/>
              <a:t> </a:t>
            </a:r>
            <a:r>
              <a:rPr lang="da-DK" sz="1200"/>
              <a:t>udledning </a:t>
            </a:r>
            <a:r>
              <a:rPr lang="da-DK" sz="1200" baseline="0"/>
              <a:t> </a:t>
            </a:r>
            <a:r>
              <a:rPr lang="da-DK" sz="1200"/>
              <a:t>[kg CO2/m2 pr. år]</a:t>
            </a:r>
          </a:p>
          <a:p>
            <a:pPr>
              <a:defRPr/>
            </a:pPr>
            <a:endParaRPr lang="da-DK"/>
          </a:p>
        </c:rich>
      </c:tx>
      <c:layout>
        <c:manualLayout>
          <c:xMode val="edge"/>
          <c:yMode val="edge"/>
          <c:x val="0.1185511407856024"/>
          <c:y val="8.6636196193464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4632-4DB7-985E-DDB766585D6F}"/>
              </c:ext>
            </c:extLst>
          </c:dPt>
          <c:dPt>
            <c:idx val="1"/>
            <c:invertIfNegative val="0"/>
            <c:bubble3D val="0"/>
            <c:spPr>
              <a:solidFill>
                <a:srgbClr val="A7D6EF"/>
              </a:solidFill>
              <a:ln>
                <a:noFill/>
              </a:ln>
              <a:effectLst/>
            </c:spPr>
            <c:extLst>
              <c:ext xmlns:c16="http://schemas.microsoft.com/office/drawing/2014/chart" uri="{C3380CC4-5D6E-409C-BE32-E72D297353CC}">
                <c16:uniqueId val="{00000003-4632-4DB7-985E-DDB766585D6F}"/>
              </c:ext>
            </c:extLst>
          </c:dPt>
          <c:cat>
            <c:strRef>
              <c:f>Scenarier!$AA$344:$AA$345</c:f>
              <c:strCache>
                <c:ptCount val="2"/>
                <c:pt idx="0">
                  <c:v>Scenarie 1</c:v>
                </c:pt>
                <c:pt idx="1">
                  <c:v>Scenarie 2</c:v>
                </c:pt>
              </c:strCache>
            </c:strRef>
          </c:cat>
          <c:val>
            <c:numRef>
              <c:f>Scenarier!$AB$344:$AB$345</c:f>
              <c:numCache>
                <c:formatCode>General</c:formatCode>
                <c:ptCount val="2"/>
                <c:pt idx="0">
                  <c:v>0.94413094019999977</c:v>
                </c:pt>
                <c:pt idx="1">
                  <c:v>5.0829795328421044E-2</c:v>
                </c:pt>
              </c:numCache>
            </c:numRef>
          </c:val>
          <c:extLst>
            <c:ext xmlns:c16="http://schemas.microsoft.com/office/drawing/2014/chart" uri="{C3380CC4-5D6E-409C-BE32-E72D297353CC}">
              <c16:uniqueId val="{00000004-4632-4DB7-985E-DDB766585D6F}"/>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532960239688122"/>
          <c:y val="0.10953407790118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Scenarier!$AA$374:$AA$375</c:f>
            </c:multiLvlStrRef>
          </c:cat>
          <c:val>
            <c:numRef>
              <c:f>Scenarier!$AB$374:$AB$375</c:f>
            </c:numRef>
          </c:val>
          <c:extLst>
            <c:ext xmlns:c16="http://schemas.microsoft.com/office/drawing/2014/chart" uri="{C3380CC4-5D6E-409C-BE32-E72D297353CC}">
              <c16:uniqueId val="{00000004-4771-4391-9F0D-A3FB09EA35B6}"/>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2921420514569135"/>
          <c:y val="0.1001602417793448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D49B-4394-8CAC-E2D55CEF5C7B}"/>
              </c:ext>
            </c:extLst>
          </c:dPt>
          <c:dPt>
            <c:idx val="1"/>
            <c:invertIfNegative val="0"/>
            <c:bubble3D val="0"/>
            <c:spPr>
              <a:solidFill>
                <a:srgbClr val="A7D6EF"/>
              </a:solidFill>
              <a:ln>
                <a:noFill/>
              </a:ln>
              <a:effectLst/>
            </c:spPr>
            <c:extLst>
              <c:ext xmlns:c16="http://schemas.microsoft.com/office/drawing/2014/chart" uri="{C3380CC4-5D6E-409C-BE32-E72D297353CC}">
                <c16:uniqueId val="{00000003-D49B-4394-8CAC-E2D55CEF5C7B}"/>
              </c:ext>
            </c:extLst>
          </c:dPt>
          <c:cat>
            <c:strRef>
              <c:f>Scenarier!$AA$404:$AA$405</c:f>
              <c:strCache>
                <c:ptCount val="2"/>
                <c:pt idx="0">
                  <c:v>Scenarie 1</c:v>
                </c:pt>
                <c:pt idx="1">
                  <c:v>Scenarie 2</c:v>
                </c:pt>
              </c:strCache>
            </c:strRef>
          </c:cat>
          <c:val>
            <c:numRef>
              <c:f>Scenarier!$AB$404:$AB$405</c:f>
              <c:numCache>
                <c:formatCode>General</c:formatCode>
                <c:ptCount val="2"/>
                <c:pt idx="0">
                  <c:v>0.86546516974297438</c:v>
                </c:pt>
                <c:pt idx="1">
                  <c:v>0.18862053008500007</c:v>
                </c:pt>
              </c:numCache>
            </c:numRef>
          </c:val>
          <c:extLst>
            <c:ext xmlns:c16="http://schemas.microsoft.com/office/drawing/2014/chart" uri="{C3380CC4-5D6E-409C-BE32-E72D297353CC}">
              <c16:uniqueId val="{00000004-D49B-4394-8CAC-E2D55CEF5C7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764180493466581"/>
          <c:y val="7.63950301161300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Scenarier!$AA$97:$AA$98</c:f>
            </c:multiLvlStrRef>
          </c:cat>
          <c:val>
            <c:numRef>
              <c:f>Scenarier!$AB$97:$AB$98</c:f>
            </c:numRef>
          </c:val>
          <c:extLst>
            <c:ext xmlns:c16="http://schemas.microsoft.com/office/drawing/2014/chart" uri="{C3380CC4-5D6E-409C-BE32-E72D297353CC}">
              <c16:uniqueId val="{00000004-B774-46EE-B95C-574A89D4B109}"/>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37932.597864930933</c:v>
                      </c:pt>
                    </c:numCache>
                  </c:numRef>
                </c:val>
                <c:extLst>
                  <c:ext xmlns:c16="http://schemas.microsoft.com/office/drawing/2014/chart" uri="{C3380CC4-5D6E-409C-BE32-E72D297353CC}">
                    <c16:uniqueId val="{00000000-ED36-4FCC-B486-A7B6040AA25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Scenarier!$AG$76:$AG$76</c15:sqref>
                        </c15:formulaRef>
                      </c:ext>
                    </c:extLst>
                    <c:numCache>
                      <c:formatCode>General</c:formatCode>
                      <c:ptCount val="1"/>
                      <c:pt idx="0">
                        <c:v>5.3154307118311577</c:v>
                      </c:pt>
                    </c:numCache>
                  </c:numRef>
                </c:val>
                <c:extLst xmlns:c15="http://schemas.microsoft.com/office/drawing/2012/chart">
                  <c:ext xmlns:c16="http://schemas.microsoft.com/office/drawing/2014/chart" uri="{C3380CC4-5D6E-409C-BE32-E72D297353CC}">
                    <c16:uniqueId val="{00000001-ED36-4FCC-B486-A7B6040AA25F}"/>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Scenarier!$AB$96</c:f>
              <c:strCache>
                <c:ptCount val="1"/>
                <c:pt idx="0">
                  <c:v>CO2 materialer</c:v>
                </c:pt>
              </c:strCache>
            </c:strRef>
          </c:tx>
          <c:spPr>
            <a:solidFill>
              <a:schemeClr val="accent1"/>
            </a:solidFill>
            <a:ln>
              <a:noFill/>
            </a:ln>
            <a:effectLst/>
          </c:spPr>
          <c:invertIfNegative val="0"/>
          <c:cat>
            <c:multiLvlStrRef>
              <c:f>Scenarier!$AA$97:$AA$98</c:f>
            </c:multiLvlStrRef>
          </c:cat>
          <c:val>
            <c:numRef>
              <c:f>Scenarier!$AB$97:$AB$98</c:f>
            </c:numRef>
          </c:val>
          <c:extLst>
            <c:ext xmlns:c16="http://schemas.microsoft.com/office/drawing/2014/chart" uri="{C3380CC4-5D6E-409C-BE32-E72D297353CC}">
              <c16:uniqueId val="{00000004-C37B-4729-A60D-4AF5167FFB2F}"/>
            </c:ext>
          </c:extLst>
        </c:ser>
        <c:ser>
          <c:idx val="1"/>
          <c:order val="1"/>
          <c:tx>
            <c:strRef>
              <c:f>Scenarier!$AC$96</c:f>
              <c:strCache>
                <c:ptCount val="1"/>
                <c:pt idx="0">
                  <c:v>CO2 varmetab</c:v>
                </c:pt>
              </c:strCache>
            </c:strRef>
          </c:tx>
          <c:spPr>
            <a:solidFill>
              <a:schemeClr val="accent2"/>
            </a:solidFill>
            <a:ln>
              <a:noFill/>
            </a:ln>
            <a:effectLst/>
          </c:spPr>
          <c:invertIfNegative val="0"/>
          <c:cat>
            <c:multiLvlStrRef>
              <c:f>Scenarier!$AA$97:$AA$98</c:f>
            </c:multiLvlStrRef>
          </c:cat>
          <c:val>
            <c:numRef>
              <c:f>Scenarier!$AC$97:$AC$98</c:f>
            </c:numRef>
          </c:val>
          <c:extLst>
            <c:ext xmlns:c16="http://schemas.microsoft.com/office/drawing/2014/chart" uri="{C3380CC4-5D6E-409C-BE32-E72D297353CC}">
              <c16:uniqueId val="{00000005-C37B-4729-A60D-4AF5167FFB2F}"/>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773358631898068"/>
          <c:y val="8.63070308064645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Scenarier!$AA$108:$AA$109</c:f>
            </c:multiLvlStrRef>
          </c:cat>
          <c:val>
            <c:numRef>
              <c:f>Scenarier!$AB$108:$AB$109</c:f>
            </c:numRef>
          </c:val>
          <c:extLst>
            <c:ext xmlns:c16="http://schemas.microsoft.com/office/drawing/2014/chart" uri="{C3380CC4-5D6E-409C-BE32-E72D297353CC}">
              <c16:uniqueId val="{00000002-9F72-4744-96E2-2C3A576431AF}"/>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Scenarier!$AB$107</c:f>
              <c:strCache>
                <c:ptCount val="1"/>
                <c:pt idx="0">
                  <c:v>CO2 materialer</c:v>
                </c:pt>
              </c:strCache>
            </c:strRef>
          </c:tx>
          <c:spPr>
            <a:solidFill>
              <a:schemeClr val="accent1"/>
            </a:solidFill>
            <a:ln>
              <a:noFill/>
            </a:ln>
            <a:effectLst/>
          </c:spPr>
          <c:invertIfNegative val="0"/>
          <c:cat>
            <c:multiLvlStrRef>
              <c:f>Scenarier!$AA$108:$AA$109</c:f>
            </c:multiLvlStrRef>
          </c:cat>
          <c:val>
            <c:numRef>
              <c:f>Scenarier!$AB$108:$AB$109</c:f>
            </c:numRef>
          </c:val>
          <c:extLst>
            <c:ext xmlns:c16="http://schemas.microsoft.com/office/drawing/2014/chart" uri="{C3380CC4-5D6E-409C-BE32-E72D297353CC}">
              <c16:uniqueId val="{00000004-2597-4E51-A821-F416DA9BD2F0}"/>
            </c:ext>
          </c:extLst>
        </c:ser>
        <c:ser>
          <c:idx val="1"/>
          <c:order val="1"/>
          <c:tx>
            <c:strRef>
              <c:f>Scenarier!$AC$107</c:f>
              <c:strCache>
                <c:ptCount val="1"/>
                <c:pt idx="0">
                  <c:v>CO2 varmetab</c:v>
                </c:pt>
              </c:strCache>
            </c:strRef>
          </c:tx>
          <c:spPr>
            <a:solidFill>
              <a:schemeClr val="accent2"/>
            </a:solidFill>
            <a:ln>
              <a:noFill/>
            </a:ln>
            <a:effectLst/>
          </c:spPr>
          <c:invertIfNegative val="0"/>
          <c:cat>
            <c:multiLvlStrRef>
              <c:f>Scenarier!$AA$108:$AA$109</c:f>
            </c:multiLvlStrRef>
          </c:cat>
          <c:val>
            <c:numRef>
              <c:f>Scenarier!$AC$108:$AC$109</c:f>
            </c:numRef>
          </c:val>
          <c:extLst>
            <c:ext xmlns:c16="http://schemas.microsoft.com/office/drawing/2014/chart" uri="{C3380CC4-5D6E-409C-BE32-E72D297353CC}">
              <c16:uniqueId val="{00000005-2597-4E51-A821-F416DA9BD2F0}"/>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848119321944868"/>
          <c:y val="8.96785642974235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Scenarier!$AA$119:$AA$120</c:f>
            </c:multiLvlStrRef>
          </c:cat>
          <c:val>
            <c:numRef>
              <c:f>Scenarier!$AB$119:$AB$120</c:f>
            </c:numRef>
          </c:val>
          <c:extLst>
            <c:ext xmlns:c16="http://schemas.microsoft.com/office/drawing/2014/chart" uri="{C3380CC4-5D6E-409C-BE32-E72D297353CC}">
              <c16:uniqueId val="{00000004-82BF-4576-BDE5-CCF7939AC04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Scenarier!$AB$118</c:f>
              <c:strCache>
                <c:ptCount val="1"/>
                <c:pt idx="0">
                  <c:v>CO2 materialer</c:v>
                </c:pt>
              </c:strCache>
            </c:strRef>
          </c:tx>
          <c:spPr>
            <a:solidFill>
              <a:schemeClr val="accent1"/>
            </a:solidFill>
            <a:ln>
              <a:noFill/>
            </a:ln>
            <a:effectLst/>
          </c:spPr>
          <c:invertIfNegative val="0"/>
          <c:cat>
            <c:multiLvlStrRef>
              <c:f>Scenarier!$AA$119:$AA$120</c:f>
            </c:multiLvlStrRef>
          </c:cat>
          <c:val>
            <c:numRef>
              <c:f>Scenarier!$AB$119:$AB$120</c:f>
            </c:numRef>
          </c:val>
          <c:extLst>
            <c:ext xmlns:c16="http://schemas.microsoft.com/office/drawing/2014/chart" uri="{C3380CC4-5D6E-409C-BE32-E72D297353CC}">
              <c16:uniqueId val="{00000002-5A04-4336-A3FF-3286EF577B6C}"/>
            </c:ext>
          </c:extLst>
        </c:ser>
        <c:ser>
          <c:idx val="1"/>
          <c:order val="1"/>
          <c:tx>
            <c:strRef>
              <c:f>Scenarier!$AC$118</c:f>
              <c:strCache>
                <c:ptCount val="1"/>
                <c:pt idx="0">
                  <c:v>CO2 varmetab</c:v>
                </c:pt>
              </c:strCache>
            </c:strRef>
          </c:tx>
          <c:spPr>
            <a:solidFill>
              <a:schemeClr val="accent2"/>
            </a:solidFill>
            <a:ln>
              <a:noFill/>
            </a:ln>
            <a:effectLst/>
          </c:spPr>
          <c:invertIfNegative val="0"/>
          <c:cat>
            <c:multiLvlStrRef>
              <c:f>Scenarier!$AA$119:$AA$120</c:f>
            </c:multiLvlStrRef>
          </c:cat>
          <c:val>
            <c:numRef>
              <c:f>Scenarier!$AC$119:$AC$120</c:f>
            </c:numRef>
          </c:val>
          <c:extLst>
            <c:ext xmlns:c16="http://schemas.microsoft.com/office/drawing/2014/chart" uri="{C3380CC4-5D6E-409C-BE32-E72D297353CC}">
              <c16:uniqueId val="{00000003-5A04-4336-A3FF-3286EF577B6C}"/>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37932.597864930933</c:v>
                      </c:pt>
                    </c:numCache>
                  </c:numRef>
                </c:val>
                <c:extLst>
                  <c:ext xmlns:c16="http://schemas.microsoft.com/office/drawing/2014/chart" uri="{C3380CC4-5D6E-409C-BE32-E72D297353CC}">
                    <c16:uniqueId val="{00000000-47EC-4777-B09B-20C7A40F69A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5.3154307118311577</c:v>
                      </c:pt>
                    </c:numCache>
                  </c:numRef>
                </c:val>
                <c:extLst xmlns:c15="http://schemas.microsoft.com/office/drawing/2012/chart">
                  <c:ext xmlns:c16="http://schemas.microsoft.com/office/drawing/2014/chart" uri="{C3380CC4-5D6E-409C-BE32-E72D297353CC}">
                    <c16:uniqueId val="{00000001-47EC-4777-B09B-20C7A40F69A9}"/>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266591299943557"/>
          <c:y val="8.06754346284510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A0EE-448F-9428-637A228A7A49}"/>
              </c:ext>
            </c:extLst>
          </c:dPt>
          <c:dPt>
            <c:idx val="1"/>
            <c:invertIfNegative val="0"/>
            <c:bubble3D val="0"/>
            <c:spPr>
              <a:solidFill>
                <a:srgbClr val="A7D6EF"/>
              </a:solidFill>
              <a:ln>
                <a:noFill/>
              </a:ln>
              <a:effectLst/>
            </c:spPr>
            <c:extLst>
              <c:ext xmlns:c16="http://schemas.microsoft.com/office/drawing/2014/chart" uri="{C3380CC4-5D6E-409C-BE32-E72D297353CC}">
                <c16:uniqueId val="{00000000-A0EE-448F-9428-637A228A7A49}"/>
              </c:ext>
            </c:extLst>
          </c:dPt>
          <c:cat>
            <c:strRef>
              <c:f>Scenarier!$AA$152:$AA$153</c:f>
              <c:strCache>
                <c:ptCount val="2"/>
                <c:pt idx="0">
                  <c:v>Scenarie 1</c:v>
                </c:pt>
                <c:pt idx="1">
                  <c:v>Scenarie 2</c:v>
                </c:pt>
              </c:strCache>
            </c:strRef>
          </c:cat>
          <c:val>
            <c:numRef>
              <c:f>Scenarier!$AB$152:$AB$153</c:f>
              <c:numCache>
                <c:formatCode>General</c:formatCode>
                <c:ptCount val="2"/>
                <c:pt idx="0">
                  <c:v>0</c:v>
                </c:pt>
                <c:pt idx="1">
                  <c:v>0</c:v>
                </c:pt>
              </c:numCache>
            </c:numRef>
          </c:val>
          <c:extLst>
            <c:ext xmlns:c16="http://schemas.microsoft.com/office/drawing/2014/chart" uri="{C3380CC4-5D6E-409C-BE32-E72D297353CC}">
              <c16:uniqueId val="{00000004-48F1-4EA7-A075-04F91C56FD8D}"/>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Scenarier!$AB$151</c:f>
              <c:strCache>
                <c:ptCount val="1"/>
                <c:pt idx="0">
                  <c:v>CO2 materialer</c:v>
                </c:pt>
              </c:strCache>
            </c:strRef>
          </c:tx>
          <c:spPr>
            <a:solidFill>
              <a:schemeClr val="accent1"/>
            </a:solidFill>
            <a:ln>
              <a:noFill/>
            </a:ln>
            <a:effectLst/>
          </c:spPr>
          <c:invertIfNegative val="0"/>
          <c:cat>
            <c:strRef>
              <c:f>Scenarier!$AA$152:$AA$153</c:f>
              <c:strCache>
                <c:ptCount val="2"/>
                <c:pt idx="0">
                  <c:v>Scenarie 1</c:v>
                </c:pt>
                <c:pt idx="1">
                  <c:v>Scenarie 2</c:v>
                </c:pt>
              </c:strCache>
            </c:strRef>
          </c:cat>
          <c:val>
            <c:numRef>
              <c:f>Scenarier!$AB$152:$AB$153</c:f>
              <c:numCache>
                <c:formatCode>General</c:formatCode>
                <c:ptCount val="2"/>
                <c:pt idx="0">
                  <c:v>0</c:v>
                </c:pt>
                <c:pt idx="1">
                  <c:v>0</c:v>
                </c:pt>
              </c:numCache>
            </c:numRef>
          </c:val>
          <c:extLst>
            <c:ext xmlns:c16="http://schemas.microsoft.com/office/drawing/2014/chart" uri="{C3380CC4-5D6E-409C-BE32-E72D297353CC}">
              <c16:uniqueId val="{00000004-769E-4C83-A4E9-6036242A2FF9}"/>
            </c:ext>
          </c:extLst>
        </c:ser>
        <c:ser>
          <c:idx val="1"/>
          <c:order val="1"/>
          <c:tx>
            <c:strRef>
              <c:f>Scenarier!$AC$151</c:f>
              <c:strCache>
                <c:ptCount val="1"/>
                <c:pt idx="0">
                  <c:v>CO2 varmetab</c:v>
                </c:pt>
              </c:strCache>
            </c:strRef>
          </c:tx>
          <c:spPr>
            <a:solidFill>
              <a:schemeClr val="accent2"/>
            </a:solidFill>
            <a:ln>
              <a:noFill/>
            </a:ln>
            <a:effectLst/>
          </c:spPr>
          <c:invertIfNegative val="0"/>
          <c:cat>
            <c:strRef>
              <c:f>Scenarier!$AA$152:$AA$153</c:f>
              <c:strCache>
                <c:ptCount val="2"/>
                <c:pt idx="0">
                  <c:v>Scenarie 1</c:v>
                </c:pt>
                <c:pt idx="1">
                  <c:v>Scenarie 2</c:v>
                </c:pt>
              </c:strCache>
            </c:strRef>
          </c:cat>
          <c:val>
            <c:numRef>
              <c:f>Scenarier!$AC$152:$AC$153</c:f>
              <c:numCache>
                <c:formatCode>General</c:formatCode>
                <c:ptCount val="2"/>
                <c:pt idx="0">
                  <c:v>0</c:v>
                </c:pt>
                <c:pt idx="1">
                  <c:v>0</c:v>
                </c:pt>
              </c:numCache>
            </c:numRef>
          </c:val>
          <c:extLst>
            <c:ext xmlns:c16="http://schemas.microsoft.com/office/drawing/2014/chart" uri="{C3380CC4-5D6E-409C-BE32-E72D297353CC}">
              <c16:uniqueId val="{00000005-769E-4C83-A4E9-6036242A2FF9}"/>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584909220616492"/>
          <c:y val="8.04763852037824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Scenarier!$AA$162:$AA$163</c:f>
            </c:multiLvlStrRef>
          </c:cat>
          <c:val>
            <c:numRef>
              <c:f>Scenarier!$AB$162:$AB$163</c:f>
            </c:numRef>
          </c:val>
          <c:extLst>
            <c:ext xmlns:c16="http://schemas.microsoft.com/office/drawing/2014/chart" uri="{C3380CC4-5D6E-409C-BE32-E72D297353CC}">
              <c16:uniqueId val="{00000004-6DC3-486A-894A-7789E7E3F8B7}"/>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Scenarier!$AB$161</c:f>
              <c:strCache>
                <c:ptCount val="1"/>
                <c:pt idx="0">
                  <c:v>CO2 materialer</c:v>
                </c:pt>
              </c:strCache>
            </c:strRef>
          </c:tx>
          <c:spPr>
            <a:solidFill>
              <a:schemeClr val="accent1"/>
            </a:solidFill>
            <a:ln>
              <a:noFill/>
            </a:ln>
            <a:effectLst/>
          </c:spPr>
          <c:invertIfNegative val="0"/>
          <c:cat>
            <c:multiLvlStrRef>
              <c:f>Scenarier!$AA$162:$AA$163</c:f>
            </c:multiLvlStrRef>
          </c:cat>
          <c:val>
            <c:numRef>
              <c:f>Scenarier!$AB$162:$AB$163</c:f>
            </c:numRef>
          </c:val>
          <c:extLst>
            <c:ext xmlns:c16="http://schemas.microsoft.com/office/drawing/2014/chart" uri="{C3380CC4-5D6E-409C-BE32-E72D297353CC}">
              <c16:uniqueId val="{00000002-5FC7-44E2-B6AD-57144EA1B64E}"/>
            </c:ext>
          </c:extLst>
        </c:ser>
        <c:ser>
          <c:idx val="1"/>
          <c:order val="1"/>
          <c:tx>
            <c:strRef>
              <c:f>Scenarier!$AC$161</c:f>
              <c:strCache>
                <c:ptCount val="1"/>
                <c:pt idx="0">
                  <c:v>CO2 varmetab</c:v>
                </c:pt>
              </c:strCache>
            </c:strRef>
          </c:tx>
          <c:spPr>
            <a:solidFill>
              <a:schemeClr val="accent2"/>
            </a:solidFill>
            <a:ln>
              <a:noFill/>
            </a:ln>
            <a:effectLst/>
          </c:spPr>
          <c:invertIfNegative val="0"/>
          <c:cat>
            <c:multiLvlStrRef>
              <c:f>Scenarier!$AA$162:$AA$163</c:f>
            </c:multiLvlStrRef>
          </c:cat>
          <c:val>
            <c:numRef>
              <c:f>Scenarier!$AC$162:$AC$163</c:f>
            </c:numRef>
          </c:val>
          <c:extLst>
            <c:ext xmlns:c16="http://schemas.microsoft.com/office/drawing/2014/chart" uri="{C3380CC4-5D6E-409C-BE32-E72D297353CC}">
              <c16:uniqueId val="{00000003-5FC7-44E2-B6AD-57144EA1B64E}"/>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Source Sans Pro" panose="020B0503030403020204" pitchFamily="34" charset="0"/>
                <a:ea typeface="+mn-ea"/>
                <a:cs typeface="+mn-cs"/>
              </a:defRPr>
            </a:pPr>
            <a:r>
              <a:rPr lang="da-DK"/>
              <a:t>CO2-aftryk</a:t>
            </a:r>
          </a:p>
        </c:rich>
      </c:tx>
      <c:layout>
        <c:manualLayout>
          <c:xMode val="edge"/>
          <c:yMode val="edge"/>
          <c:x val="0.35473518972783802"/>
          <c:y val="3.03708380829816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ser>
          <c:idx val="0"/>
          <c:order val="0"/>
          <c:spPr>
            <a:solidFill>
              <a:schemeClr val="accent1">
                <a:tint val="77000"/>
              </a:schemeClr>
            </a:solidFill>
            <a:ln>
              <a:noFill/>
            </a:ln>
            <a:effectLst/>
          </c:spPr>
          <c:invertIfNegative val="0"/>
          <c:cat>
            <c:numRef>
              <c:f>Scenarier!$AF$74:$AG$74</c:f>
              <c:numCache>
                <c:formatCode>General</c:formatCode>
                <c:ptCount val="2"/>
              </c:numCache>
            </c:numRef>
          </c:cat>
          <c:val>
            <c:numRef>
              <c:f>Scenarier!#REF!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Scenarier!#REF!</c15:sqref>
                        </c15:formulaRef>
                      </c:ext>
                    </c:extLst>
                    <c:strCache>
                      <c:ptCount val="1"/>
                      <c:pt idx="0">
                        <c:v>#REFERENCE!</c:v>
                      </c:pt>
                    </c:strCache>
                  </c:strRef>
                </c15:tx>
              </c15:filteredSeriesTitle>
            </c:ext>
            <c:ext xmlns:c16="http://schemas.microsoft.com/office/drawing/2014/chart" uri="{C3380CC4-5D6E-409C-BE32-E72D297353CC}">
              <c16:uniqueId val="{00000000-C864-4DD5-B3C4-C8354F25C710}"/>
            </c:ext>
          </c:extLst>
        </c:ser>
        <c:ser>
          <c:idx val="1"/>
          <c:order val="1"/>
          <c:spPr>
            <a:solidFill>
              <a:schemeClr val="accent1">
                <a:shade val="76000"/>
              </a:schemeClr>
            </a:solidFill>
            <a:ln>
              <a:noFill/>
            </a:ln>
            <a:effectLst/>
          </c:spPr>
          <c:invertIfNegative val="0"/>
          <c:cat>
            <c:numRef>
              <c:f>Scenarier!$AF$74:$AG$74</c:f>
              <c:numCache>
                <c:formatCode>General</c:formatCode>
                <c:ptCount val="2"/>
              </c:numCache>
            </c:numRef>
          </c:cat>
          <c:val>
            <c:numRef>
              <c:f>Scenarier!#REF!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Scenarier!#REF!</c15:sqref>
                        </c15:formulaRef>
                      </c:ext>
                    </c:extLst>
                    <c:strCache>
                      <c:ptCount val="1"/>
                      <c:pt idx="0">
                        <c:v>#REFERENCE!</c:v>
                      </c:pt>
                    </c:strCache>
                  </c:strRef>
                </c15:tx>
              </c15:filteredSeriesTitle>
            </c:ext>
            <c:ext xmlns:c16="http://schemas.microsoft.com/office/drawing/2014/chart" uri="{C3380CC4-5D6E-409C-BE32-E72D297353CC}">
              <c16:uniqueId val="{00000001-C864-4DD5-B3C4-C8354F25C710}"/>
            </c:ext>
          </c:extLst>
        </c:ser>
        <c:dLbls>
          <c:showLegendKey val="0"/>
          <c:showVal val="0"/>
          <c:showCatName val="0"/>
          <c:showSerName val="0"/>
          <c:showPercent val="0"/>
          <c:showBubbleSize val="0"/>
        </c:dLbls>
        <c:gapWidth val="150"/>
        <c:overlap val="100"/>
        <c:axId val="192072191"/>
        <c:axId val="192072607"/>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Scenarier!#REF!</c:f>
              <c:strCache>
                <c:ptCount val="1"/>
                <c:pt idx="0">
                  <c:v>#REFERENCE!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layout>
        <c:manualLayout>
          <c:xMode val="edge"/>
          <c:yMode val="edge"/>
          <c:x val="0.14095291043863201"/>
          <c:y val="0.89000768962536647"/>
          <c:w val="0.71809417912273599"/>
          <c:h val="0.109992310374633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ysClr val="windowText" lastClr="000000"/>
      </a:solid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584909220616492"/>
          <c:y val="8.4502238166532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Scenarier!$AA$172:$AA$173</c:f>
            </c:multiLvlStrRef>
          </c:cat>
          <c:val>
            <c:numRef>
              <c:f>Scenarier!$AB$172:$AB$173</c:f>
            </c:numRef>
          </c:val>
          <c:extLst>
            <c:ext xmlns:c16="http://schemas.microsoft.com/office/drawing/2014/chart" uri="{C3380CC4-5D6E-409C-BE32-E72D297353CC}">
              <c16:uniqueId val="{00000004-72D5-4DF1-A6FC-FAF4F69F7F3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Scenarier!$AB$171</c:f>
              <c:strCache>
                <c:ptCount val="1"/>
                <c:pt idx="0">
                  <c:v>CO2 materialer</c:v>
                </c:pt>
              </c:strCache>
            </c:strRef>
          </c:tx>
          <c:spPr>
            <a:solidFill>
              <a:schemeClr val="accent1"/>
            </a:solidFill>
            <a:ln>
              <a:noFill/>
            </a:ln>
            <a:effectLst/>
          </c:spPr>
          <c:invertIfNegative val="0"/>
          <c:cat>
            <c:multiLvlStrRef>
              <c:f>Scenarier!$AA$172:$AA$173</c:f>
            </c:multiLvlStrRef>
          </c:cat>
          <c:val>
            <c:numRef>
              <c:f>Scenarier!$AB$172:$AB$173</c:f>
            </c:numRef>
          </c:val>
          <c:extLst>
            <c:ext xmlns:c16="http://schemas.microsoft.com/office/drawing/2014/chart" uri="{C3380CC4-5D6E-409C-BE32-E72D297353CC}">
              <c16:uniqueId val="{00000004-F97A-49EE-8E07-3F30E7262FE7}"/>
            </c:ext>
          </c:extLst>
        </c:ser>
        <c:ser>
          <c:idx val="1"/>
          <c:order val="1"/>
          <c:tx>
            <c:strRef>
              <c:f>Scenarier!$AC$171</c:f>
              <c:strCache>
                <c:ptCount val="1"/>
                <c:pt idx="0">
                  <c:v>CO2 varmetab</c:v>
                </c:pt>
              </c:strCache>
            </c:strRef>
          </c:tx>
          <c:spPr>
            <a:solidFill>
              <a:schemeClr val="accent2"/>
            </a:solidFill>
            <a:ln>
              <a:noFill/>
            </a:ln>
            <a:effectLst/>
          </c:spPr>
          <c:invertIfNegative val="0"/>
          <c:cat>
            <c:multiLvlStrRef>
              <c:f>Scenarier!$AA$172:$AA$173</c:f>
            </c:multiLvlStrRef>
          </c:cat>
          <c:val>
            <c:numRef>
              <c:f>Scenarier!$AC$172:$AC$173</c:f>
            </c:numRef>
          </c:val>
          <c:extLst>
            <c:ext xmlns:c16="http://schemas.microsoft.com/office/drawing/2014/chart" uri="{C3380CC4-5D6E-409C-BE32-E72D297353CC}">
              <c16:uniqueId val="{00000005-F97A-49EE-8E07-3F30E7262FE7}"/>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7662759845536838"/>
          <c:y val="7.58092176796350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Scenarier!$AA$182:$AA$183</c:f>
            </c:multiLvlStrRef>
          </c:cat>
          <c:val>
            <c:numRef>
              <c:f>Scenarier!$AB$182:$AB$183</c:f>
            </c:numRef>
          </c:val>
          <c:extLst>
            <c:ext xmlns:c16="http://schemas.microsoft.com/office/drawing/2014/chart" uri="{C3380CC4-5D6E-409C-BE32-E72D297353CC}">
              <c16:uniqueId val="{00000004-78EE-47D8-8451-4F047183C45F}"/>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Scenarier!$AB$181</c:f>
              <c:strCache>
                <c:ptCount val="1"/>
                <c:pt idx="0">
                  <c:v>CO2 materialer</c:v>
                </c:pt>
              </c:strCache>
            </c:strRef>
          </c:tx>
          <c:spPr>
            <a:solidFill>
              <a:schemeClr val="accent1"/>
            </a:solidFill>
            <a:ln>
              <a:noFill/>
            </a:ln>
            <a:effectLst/>
          </c:spPr>
          <c:invertIfNegative val="0"/>
          <c:cat>
            <c:multiLvlStrRef>
              <c:f>Scenarier!$AA$182:$AA$183</c:f>
            </c:multiLvlStrRef>
          </c:cat>
          <c:val>
            <c:numRef>
              <c:f>Scenarier!$AB$182:$AB$183</c:f>
            </c:numRef>
          </c:val>
          <c:extLst>
            <c:ext xmlns:c16="http://schemas.microsoft.com/office/drawing/2014/chart" uri="{C3380CC4-5D6E-409C-BE32-E72D297353CC}">
              <c16:uniqueId val="{00000004-EC35-464C-BB29-B38F24070DCB}"/>
            </c:ext>
          </c:extLst>
        </c:ser>
        <c:ser>
          <c:idx val="1"/>
          <c:order val="1"/>
          <c:tx>
            <c:strRef>
              <c:f>Scenarier!$AC$181</c:f>
              <c:strCache>
                <c:ptCount val="1"/>
                <c:pt idx="0">
                  <c:v>CO2 varmetab</c:v>
                </c:pt>
              </c:strCache>
            </c:strRef>
          </c:tx>
          <c:spPr>
            <a:solidFill>
              <a:schemeClr val="accent2"/>
            </a:solidFill>
            <a:ln>
              <a:noFill/>
            </a:ln>
            <a:effectLst/>
          </c:spPr>
          <c:invertIfNegative val="0"/>
          <c:cat>
            <c:multiLvlStrRef>
              <c:f>Scenarier!$AA$182:$AA$183</c:f>
            </c:multiLvlStrRef>
          </c:cat>
          <c:val>
            <c:numRef>
              <c:f>Scenarier!$AC$182:$AC$183</c:f>
            </c:numRef>
          </c:val>
          <c:extLst>
            <c:ext xmlns:c16="http://schemas.microsoft.com/office/drawing/2014/chart" uri="{C3380CC4-5D6E-409C-BE32-E72D297353CC}">
              <c16:uniqueId val="{00000005-EC35-464C-BB29-B38F24070DCB}"/>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368693899102383"/>
          <c:y val="6.86070139067200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93E4-4CC6-B5BB-E9B2FCC26A02}"/>
              </c:ext>
            </c:extLst>
          </c:dPt>
          <c:dPt>
            <c:idx val="1"/>
            <c:invertIfNegative val="0"/>
            <c:bubble3D val="0"/>
            <c:spPr>
              <a:solidFill>
                <a:srgbClr val="A7D6EF"/>
              </a:solidFill>
              <a:ln>
                <a:noFill/>
              </a:ln>
              <a:effectLst/>
            </c:spPr>
            <c:extLst>
              <c:ext xmlns:c16="http://schemas.microsoft.com/office/drawing/2014/chart" uri="{C3380CC4-5D6E-409C-BE32-E72D297353CC}">
                <c16:uniqueId val="{00000000-93E4-4CC6-B5BB-E9B2FCC26A02}"/>
              </c:ext>
            </c:extLst>
          </c:dPt>
          <c:cat>
            <c:strRef>
              <c:f>Scenarier!$AA$212:$AA$213</c:f>
              <c:strCache>
                <c:ptCount val="2"/>
                <c:pt idx="0">
                  <c:v>Scenarie 1</c:v>
                </c:pt>
                <c:pt idx="1">
                  <c:v>Scenarie 2</c:v>
                </c:pt>
              </c:strCache>
            </c:strRef>
          </c:cat>
          <c:val>
            <c:numRef>
              <c:f>Scenarier!$AB$212:$AB$213</c:f>
              <c:numCache>
                <c:formatCode>General</c:formatCode>
                <c:ptCount val="2"/>
                <c:pt idx="0">
                  <c:v>0</c:v>
                </c:pt>
                <c:pt idx="1">
                  <c:v>0</c:v>
                </c:pt>
              </c:numCache>
            </c:numRef>
          </c:val>
          <c:extLst>
            <c:ext xmlns:c16="http://schemas.microsoft.com/office/drawing/2014/chart" uri="{C3380CC4-5D6E-409C-BE32-E72D297353CC}">
              <c16:uniqueId val="{00000004-14C6-4D7E-A727-6E1C88E0638E}"/>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Scenarier!$AB$211</c:f>
              <c:strCache>
                <c:ptCount val="1"/>
                <c:pt idx="0">
                  <c:v>CO2 materialer</c:v>
                </c:pt>
              </c:strCache>
            </c:strRef>
          </c:tx>
          <c:spPr>
            <a:solidFill>
              <a:schemeClr val="accent1"/>
            </a:solidFill>
            <a:ln>
              <a:noFill/>
            </a:ln>
            <a:effectLst/>
          </c:spPr>
          <c:invertIfNegative val="0"/>
          <c:cat>
            <c:strRef>
              <c:f>Scenarier!$AA$212:$AA$213</c:f>
              <c:strCache>
                <c:ptCount val="2"/>
                <c:pt idx="0">
                  <c:v>Scenarie 1</c:v>
                </c:pt>
                <c:pt idx="1">
                  <c:v>Scenarie 2</c:v>
                </c:pt>
              </c:strCache>
            </c:strRef>
          </c:cat>
          <c:val>
            <c:numRef>
              <c:f>Scenarier!$AB$212:$AB$213</c:f>
              <c:numCache>
                <c:formatCode>General</c:formatCode>
                <c:ptCount val="2"/>
                <c:pt idx="0">
                  <c:v>0</c:v>
                </c:pt>
                <c:pt idx="1">
                  <c:v>0</c:v>
                </c:pt>
              </c:numCache>
            </c:numRef>
          </c:val>
          <c:extLst>
            <c:ext xmlns:c16="http://schemas.microsoft.com/office/drawing/2014/chart" uri="{C3380CC4-5D6E-409C-BE32-E72D297353CC}">
              <c16:uniqueId val="{00000000-090A-4C00-8196-7AB47195C776}"/>
            </c:ext>
          </c:extLst>
        </c:ser>
        <c:ser>
          <c:idx val="1"/>
          <c:order val="1"/>
          <c:tx>
            <c:strRef>
              <c:f>Scenarier!$AC$211</c:f>
              <c:strCache>
                <c:ptCount val="1"/>
                <c:pt idx="0">
                  <c:v>CO2 varmetab</c:v>
                </c:pt>
              </c:strCache>
            </c:strRef>
          </c:tx>
          <c:spPr>
            <a:solidFill>
              <a:schemeClr val="accent2"/>
            </a:solidFill>
            <a:ln>
              <a:noFill/>
            </a:ln>
            <a:effectLst/>
          </c:spPr>
          <c:invertIfNegative val="0"/>
          <c:cat>
            <c:strRef>
              <c:f>Scenarier!$AA$212:$AA$213</c:f>
              <c:strCache>
                <c:ptCount val="2"/>
                <c:pt idx="0">
                  <c:v>Scenarie 1</c:v>
                </c:pt>
                <c:pt idx="1">
                  <c:v>Scenarie 2</c:v>
                </c:pt>
              </c:strCache>
            </c:strRef>
          </c:cat>
          <c:val>
            <c:numRef>
              <c:f>Scenarier!$AC$212:$AC$213</c:f>
              <c:numCache>
                <c:formatCode>General</c:formatCode>
                <c:ptCount val="2"/>
                <c:pt idx="0">
                  <c:v>0</c:v>
                </c:pt>
                <c:pt idx="1">
                  <c:v>0</c:v>
                </c:pt>
              </c:numCache>
            </c:numRef>
          </c:val>
          <c:extLst>
            <c:ext xmlns:c16="http://schemas.microsoft.com/office/drawing/2014/chart" uri="{C3380CC4-5D6E-409C-BE32-E72D297353CC}">
              <c16:uniqueId val="{00000001-090A-4C00-8196-7AB47195C776}"/>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4638529388884015"/>
          <c:y val="6.4599837062819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Scenarier!$AA$222:$AA$223</c:f>
            </c:multiLvlStrRef>
          </c:cat>
          <c:val>
            <c:numRef>
              <c:f>Scenarier!$AB$222:$AB$223</c:f>
            </c:numRef>
          </c:val>
          <c:extLst>
            <c:ext xmlns:c16="http://schemas.microsoft.com/office/drawing/2014/chart" uri="{C3380CC4-5D6E-409C-BE32-E72D297353CC}">
              <c16:uniqueId val="{00000004-2CCB-4351-9E5B-45EF1EFF1F30}"/>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Scenarier!$AB$221</c:f>
              <c:strCache>
                <c:ptCount val="1"/>
                <c:pt idx="0">
                  <c:v>CO2 materialer</c:v>
                </c:pt>
              </c:strCache>
            </c:strRef>
          </c:tx>
          <c:spPr>
            <a:solidFill>
              <a:schemeClr val="accent1"/>
            </a:solidFill>
            <a:ln>
              <a:noFill/>
            </a:ln>
            <a:effectLst/>
          </c:spPr>
          <c:invertIfNegative val="0"/>
          <c:cat>
            <c:multiLvlStrRef>
              <c:f>Scenarier!$AA$222:$AA$223</c:f>
            </c:multiLvlStrRef>
          </c:cat>
          <c:val>
            <c:numRef>
              <c:f>Scenarier!$AB$222:$AB$223</c:f>
            </c:numRef>
          </c:val>
          <c:extLst>
            <c:ext xmlns:c16="http://schemas.microsoft.com/office/drawing/2014/chart" uri="{C3380CC4-5D6E-409C-BE32-E72D297353CC}">
              <c16:uniqueId val="{00000000-A498-4A7C-9AE3-CC13FE0ABC0F}"/>
            </c:ext>
          </c:extLst>
        </c:ser>
        <c:ser>
          <c:idx val="1"/>
          <c:order val="1"/>
          <c:tx>
            <c:strRef>
              <c:f>Scenarier!$AC$221</c:f>
              <c:strCache>
                <c:ptCount val="1"/>
                <c:pt idx="0">
                  <c:v>CO2 varmetab</c:v>
                </c:pt>
              </c:strCache>
            </c:strRef>
          </c:tx>
          <c:spPr>
            <a:solidFill>
              <a:schemeClr val="accent2"/>
            </a:solidFill>
            <a:ln>
              <a:noFill/>
            </a:ln>
            <a:effectLst/>
          </c:spPr>
          <c:invertIfNegative val="0"/>
          <c:cat>
            <c:multiLvlStrRef>
              <c:f>Scenarier!$AA$222:$AA$223</c:f>
            </c:multiLvlStrRef>
          </c:cat>
          <c:val>
            <c:numRef>
              <c:f>Scenarier!$AC$222:$AC$223</c:f>
            </c:numRef>
          </c:val>
          <c:extLst>
            <c:ext xmlns:c16="http://schemas.microsoft.com/office/drawing/2014/chart" uri="{C3380CC4-5D6E-409C-BE32-E72D297353CC}">
              <c16:uniqueId val="{00000002-A498-4A7C-9AE3-CC13FE0ABC0F}"/>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368693899102383"/>
          <c:y val="7.2632893656544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Scenarier!$AA$232:$AA$233</c:f>
            </c:multiLvlStrRef>
          </c:cat>
          <c:val>
            <c:numRef>
              <c:f>Scenarier!$AB$232:$AB$233</c:f>
            </c:numRef>
          </c:val>
          <c:extLst>
            <c:ext xmlns:c16="http://schemas.microsoft.com/office/drawing/2014/chart" uri="{C3380CC4-5D6E-409C-BE32-E72D297353CC}">
              <c16:uniqueId val="{00000004-BE55-40CB-BC94-5A86AFDFECB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Scenarier!$AB$231</c:f>
              <c:strCache>
                <c:ptCount val="1"/>
                <c:pt idx="0">
                  <c:v>CO2 materialer</c:v>
                </c:pt>
              </c:strCache>
            </c:strRef>
          </c:tx>
          <c:spPr>
            <a:solidFill>
              <a:schemeClr val="accent1"/>
            </a:solidFill>
            <a:ln>
              <a:noFill/>
            </a:ln>
            <a:effectLst/>
          </c:spPr>
          <c:invertIfNegative val="0"/>
          <c:cat>
            <c:multiLvlStrRef>
              <c:f>Scenarier!$AA$232:$AA$233</c:f>
            </c:multiLvlStrRef>
          </c:cat>
          <c:val>
            <c:numRef>
              <c:f>Scenarier!$AB$232:$AB$233</c:f>
            </c:numRef>
          </c:val>
          <c:extLst>
            <c:ext xmlns:c16="http://schemas.microsoft.com/office/drawing/2014/chart" uri="{C3380CC4-5D6E-409C-BE32-E72D297353CC}">
              <c16:uniqueId val="{00000000-3C68-4CBE-A9C0-A31AFF27EF24}"/>
            </c:ext>
          </c:extLst>
        </c:ser>
        <c:ser>
          <c:idx val="1"/>
          <c:order val="1"/>
          <c:tx>
            <c:strRef>
              <c:f>Scenarier!$AC$231</c:f>
              <c:strCache>
                <c:ptCount val="1"/>
                <c:pt idx="0">
                  <c:v>CO2 varmetab</c:v>
                </c:pt>
              </c:strCache>
            </c:strRef>
          </c:tx>
          <c:spPr>
            <a:solidFill>
              <a:schemeClr val="accent2"/>
            </a:solidFill>
            <a:ln>
              <a:noFill/>
            </a:ln>
            <a:effectLst/>
          </c:spPr>
          <c:invertIfNegative val="0"/>
          <c:cat>
            <c:multiLvlStrRef>
              <c:f>Scenarier!$AA$232:$AA$233</c:f>
            </c:multiLvlStrRef>
          </c:cat>
          <c:val>
            <c:numRef>
              <c:f>Scenarier!$AC$232:$AC$233</c:f>
            </c:numRef>
          </c:val>
          <c:extLst>
            <c:ext xmlns:c16="http://schemas.microsoft.com/office/drawing/2014/chart" uri="{C3380CC4-5D6E-409C-BE32-E72D297353CC}">
              <c16:uniqueId val="{00000001-3C68-4CBE-A9C0-A31AFF27EF24}"/>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342662031842757"/>
          <c:y val="9.62981533069932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2-834E-4E18-A4D9-A4B078A702EE}"/>
              </c:ext>
            </c:extLst>
          </c:dPt>
          <c:dPt>
            <c:idx val="1"/>
            <c:invertIfNegative val="0"/>
            <c:bubble3D val="0"/>
            <c:spPr>
              <a:solidFill>
                <a:srgbClr val="A7D6EF"/>
              </a:solidFill>
              <a:ln>
                <a:noFill/>
              </a:ln>
              <a:effectLst/>
            </c:spPr>
            <c:extLst>
              <c:ext xmlns:c16="http://schemas.microsoft.com/office/drawing/2014/chart" uri="{C3380CC4-5D6E-409C-BE32-E72D297353CC}">
                <c16:uniqueId val="{00000001-834E-4E18-A4D9-A4B078A702EE}"/>
              </c:ext>
            </c:extLst>
          </c:dPt>
          <c:cat>
            <c:strRef>
              <c:f>Scenarier!$AA$75:$AA$76</c:f>
              <c:strCache>
                <c:ptCount val="2"/>
                <c:pt idx="0">
                  <c:v>Scenarie 1</c:v>
                </c:pt>
                <c:pt idx="1">
                  <c:v>Scenarie 2</c:v>
                </c:pt>
              </c:strCache>
            </c:strRef>
          </c:cat>
          <c:val>
            <c:numRef>
              <c:f>Scenarier!$AB$75:$AB$76</c:f>
              <c:numCache>
                <c:formatCode>General</c:formatCode>
                <c:ptCount val="2"/>
                <c:pt idx="0">
                  <c:v>1.8966298932465468</c:v>
                </c:pt>
                <c:pt idx="1">
                  <c:v>0.26577153559155786</c:v>
                </c:pt>
              </c:numCache>
            </c:numRef>
          </c:val>
          <c:extLst>
            <c:ext xmlns:c16="http://schemas.microsoft.com/office/drawing/2014/chart" uri="{C3380CC4-5D6E-409C-BE32-E72D297353CC}">
              <c16:uniqueId val="{00000000-834E-4E18-A4D9-A4B078A702EE}"/>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368693899102383"/>
          <c:y val="6.86162068604794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Scenarier!$AA$242:$AA$243</c:f>
            </c:multiLvlStrRef>
          </c:cat>
          <c:val>
            <c:numRef>
              <c:f>Scenarier!$AB$242:$AB$243</c:f>
            </c:numRef>
          </c:val>
          <c:extLst>
            <c:ext xmlns:c16="http://schemas.microsoft.com/office/drawing/2014/chart" uri="{C3380CC4-5D6E-409C-BE32-E72D297353CC}">
              <c16:uniqueId val="{00000004-D745-4C55-A78A-BBFF5522491C}"/>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Scenarier!$AB$241</c:f>
              <c:strCache>
                <c:ptCount val="1"/>
                <c:pt idx="0">
                  <c:v>CO2 materialer</c:v>
                </c:pt>
              </c:strCache>
            </c:strRef>
          </c:tx>
          <c:spPr>
            <a:solidFill>
              <a:schemeClr val="accent1"/>
            </a:solidFill>
            <a:ln>
              <a:noFill/>
            </a:ln>
            <a:effectLst/>
          </c:spPr>
          <c:invertIfNegative val="0"/>
          <c:cat>
            <c:multiLvlStrRef>
              <c:f>Scenarier!$AA$242:$AA$243</c:f>
            </c:multiLvlStrRef>
          </c:cat>
          <c:val>
            <c:numRef>
              <c:f>Scenarier!$AB$242:$AB$243</c:f>
            </c:numRef>
          </c:val>
          <c:extLst>
            <c:ext xmlns:c16="http://schemas.microsoft.com/office/drawing/2014/chart" uri="{C3380CC4-5D6E-409C-BE32-E72D297353CC}">
              <c16:uniqueId val="{00000000-AC25-47D2-9ACD-28889F55EF35}"/>
            </c:ext>
          </c:extLst>
        </c:ser>
        <c:ser>
          <c:idx val="1"/>
          <c:order val="1"/>
          <c:tx>
            <c:strRef>
              <c:f>Scenarier!$AC$241</c:f>
              <c:strCache>
                <c:ptCount val="1"/>
                <c:pt idx="0">
                  <c:v>CO2 varmetab</c:v>
                </c:pt>
              </c:strCache>
            </c:strRef>
          </c:tx>
          <c:spPr>
            <a:solidFill>
              <a:schemeClr val="accent2"/>
            </a:solidFill>
            <a:ln>
              <a:noFill/>
            </a:ln>
            <a:effectLst/>
          </c:spPr>
          <c:invertIfNegative val="0"/>
          <c:cat>
            <c:multiLvlStrRef>
              <c:f>Scenarier!$AA$242:$AA$243</c:f>
            </c:multiLvlStrRef>
          </c:cat>
          <c:val>
            <c:numRef>
              <c:f>Scenarier!$AC$242:$AC$243</c:f>
            </c:numRef>
          </c:val>
          <c:extLst>
            <c:ext xmlns:c16="http://schemas.microsoft.com/office/drawing/2014/chart" uri="{C3380CC4-5D6E-409C-BE32-E72D297353CC}">
              <c16:uniqueId val="{00000001-AC25-47D2-9ACD-28889F55EF35}"/>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8744068180952964"/>
          <c:y val="8.60561909899522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5551-41A2-BC1E-335497204762}"/>
              </c:ext>
            </c:extLst>
          </c:dPt>
          <c:dPt>
            <c:idx val="1"/>
            <c:invertIfNegative val="0"/>
            <c:bubble3D val="0"/>
            <c:spPr>
              <a:solidFill>
                <a:srgbClr val="A7D6EF"/>
              </a:solidFill>
              <a:ln>
                <a:noFill/>
              </a:ln>
              <a:effectLst/>
            </c:spPr>
            <c:extLst>
              <c:ext xmlns:c16="http://schemas.microsoft.com/office/drawing/2014/chart" uri="{C3380CC4-5D6E-409C-BE32-E72D297353CC}">
                <c16:uniqueId val="{00000000-5551-41A2-BC1E-335497204762}"/>
              </c:ext>
            </c:extLst>
          </c:dPt>
          <c:cat>
            <c:strRef>
              <c:f>Scenarier!$AA$297:$AA$298</c:f>
              <c:strCache>
                <c:ptCount val="2"/>
                <c:pt idx="0">
                  <c:v>Scenarie 1</c:v>
                </c:pt>
                <c:pt idx="1">
                  <c:v>Scenarie 2</c:v>
                </c:pt>
              </c:strCache>
            </c:strRef>
          </c:cat>
          <c:val>
            <c:numRef>
              <c:f>Scenarier!$AB$297:$AB$298</c:f>
              <c:numCache>
                <c:formatCode>General</c:formatCode>
                <c:ptCount val="2"/>
                <c:pt idx="0">
                  <c:v>0</c:v>
                </c:pt>
                <c:pt idx="1">
                  <c:v>0</c:v>
                </c:pt>
              </c:numCache>
            </c:numRef>
          </c:val>
          <c:extLst>
            <c:ext xmlns:c16="http://schemas.microsoft.com/office/drawing/2014/chart" uri="{C3380CC4-5D6E-409C-BE32-E72D297353CC}">
              <c16:uniqueId val="{00000004-C818-4C12-9C46-DE5B1A63CEF6}"/>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Scenarier!$AB$296</c:f>
              <c:strCache>
                <c:ptCount val="1"/>
                <c:pt idx="0">
                  <c:v>CO2 materialer</c:v>
                </c:pt>
              </c:strCache>
            </c:strRef>
          </c:tx>
          <c:spPr>
            <a:solidFill>
              <a:schemeClr val="accent1"/>
            </a:solidFill>
            <a:ln>
              <a:noFill/>
            </a:ln>
            <a:effectLst/>
          </c:spPr>
          <c:invertIfNegative val="0"/>
          <c:cat>
            <c:strRef>
              <c:f>Scenarier!$AA$297:$AA$298</c:f>
              <c:strCache>
                <c:ptCount val="2"/>
                <c:pt idx="0">
                  <c:v>Scenarie 1</c:v>
                </c:pt>
                <c:pt idx="1">
                  <c:v>Scenarie 2</c:v>
                </c:pt>
              </c:strCache>
            </c:strRef>
          </c:cat>
          <c:val>
            <c:numRef>
              <c:f>Scenarier!$AB$297:$AB$298</c:f>
              <c:numCache>
                <c:formatCode>General</c:formatCode>
                <c:ptCount val="2"/>
                <c:pt idx="0">
                  <c:v>0</c:v>
                </c:pt>
                <c:pt idx="1">
                  <c:v>0</c:v>
                </c:pt>
              </c:numCache>
            </c:numRef>
          </c:val>
          <c:extLst>
            <c:ext xmlns:c16="http://schemas.microsoft.com/office/drawing/2014/chart" uri="{C3380CC4-5D6E-409C-BE32-E72D297353CC}">
              <c16:uniqueId val="{00000000-2598-4DE8-BDA3-AA4A34240515}"/>
            </c:ext>
          </c:extLst>
        </c:ser>
        <c:ser>
          <c:idx val="1"/>
          <c:order val="1"/>
          <c:tx>
            <c:strRef>
              <c:f>Scenarier!$AC$296</c:f>
              <c:strCache>
                <c:ptCount val="1"/>
                <c:pt idx="0">
                  <c:v>CO2 varmetab</c:v>
                </c:pt>
              </c:strCache>
            </c:strRef>
          </c:tx>
          <c:spPr>
            <a:solidFill>
              <a:schemeClr val="accent2"/>
            </a:solidFill>
            <a:ln>
              <a:noFill/>
            </a:ln>
            <a:effectLst/>
          </c:spPr>
          <c:invertIfNegative val="0"/>
          <c:cat>
            <c:strRef>
              <c:f>Scenarier!$AA$297:$AA$298</c:f>
              <c:strCache>
                <c:ptCount val="2"/>
                <c:pt idx="0">
                  <c:v>Scenarie 1</c:v>
                </c:pt>
                <c:pt idx="1">
                  <c:v>Scenarie 2</c:v>
                </c:pt>
              </c:strCache>
            </c:strRef>
          </c:cat>
          <c:val>
            <c:numRef>
              <c:f>Scenarier!$AC$297:$AC$298</c:f>
              <c:numCache>
                <c:formatCode>General</c:formatCode>
                <c:ptCount val="2"/>
                <c:pt idx="0">
                  <c:v>0</c:v>
                </c:pt>
                <c:pt idx="1">
                  <c:v>0</c:v>
                </c:pt>
              </c:numCache>
            </c:numRef>
          </c:val>
          <c:extLst>
            <c:ext xmlns:c16="http://schemas.microsoft.com/office/drawing/2014/chart" uri="{C3380CC4-5D6E-409C-BE32-E72D297353CC}">
              <c16:uniqueId val="{00000001-2598-4DE8-BDA3-AA4A34240515}"/>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37932.597864930933</c:v>
                      </c:pt>
                    </c:numCache>
                  </c:numRef>
                </c:val>
                <c:extLst>
                  <c:ext xmlns:c16="http://schemas.microsoft.com/office/drawing/2014/chart" uri="{C3380CC4-5D6E-409C-BE32-E72D297353CC}">
                    <c16:uniqueId val="{00000000-915D-4E55-AF5D-0DF5912380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5.3154307118311577</c:v>
                      </c:pt>
                    </c:numCache>
                  </c:numRef>
                </c:val>
                <c:extLst xmlns:c15="http://schemas.microsoft.com/office/drawing/2012/chart">
                  <c:ext xmlns:c16="http://schemas.microsoft.com/office/drawing/2014/chart" uri="{C3380CC4-5D6E-409C-BE32-E72D297353CC}">
                    <c16:uniqueId val="{00000001-915D-4E55-AF5D-0DF5912380AF}"/>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005329740448261"/>
          <c:y val="9.32209271691633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Scenarier!$AA$306:$AA$307</c:f>
            </c:multiLvlStrRef>
          </c:cat>
          <c:val>
            <c:numRef>
              <c:f>Scenarier!$AB$306:$AB$307</c:f>
            </c:numRef>
          </c:val>
          <c:extLst>
            <c:ext xmlns:c16="http://schemas.microsoft.com/office/drawing/2014/chart" uri="{C3380CC4-5D6E-409C-BE32-E72D297353CC}">
              <c16:uniqueId val="{00000004-B962-47DB-AEC8-B8AEFB687CB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Scenarier!$AB$305</c:f>
              <c:strCache>
                <c:ptCount val="1"/>
                <c:pt idx="0">
                  <c:v>CO2 materialer</c:v>
                </c:pt>
              </c:strCache>
            </c:strRef>
          </c:tx>
          <c:spPr>
            <a:solidFill>
              <a:schemeClr val="accent1"/>
            </a:solidFill>
            <a:ln>
              <a:noFill/>
            </a:ln>
            <a:effectLst/>
          </c:spPr>
          <c:invertIfNegative val="0"/>
          <c:cat>
            <c:multiLvlStrRef>
              <c:f>Scenarier!$AA$306:$AA$307</c:f>
            </c:multiLvlStrRef>
          </c:cat>
          <c:val>
            <c:numRef>
              <c:f>Scenarier!$AB$306:$AB$307</c:f>
            </c:numRef>
          </c:val>
          <c:extLst>
            <c:ext xmlns:c16="http://schemas.microsoft.com/office/drawing/2014/chart" uri="{C3380CC4-5D6E-409C-BE32-E72D297353CC}">
              <c16:uniqueId val="{00000000-2712-4CE5-B8B8-A29FE289ECAC}"/>
            </c:ext>
          </c:extLst>
        </c:ser>
        <c:ser>
          <c:idx val="1"/>
          <c:order val="1"/>
          <c:tx>
            <c:strRef>
              <c:f>Scenarier!$AC$305</c:f>
              <c:strCache>
                <c:ptCount val="1"/>
                <c:pt idx="0">
                  <c:v>CO2 varmetab</c:v>
                </c:pt>
              </c:strCache>
            </c:strRef>
          </c:tx>
          <c:spPr>
            <a:solidFill>
              <a:schemeClr val="accent2"/>
            </a:solidFill>
            <a:ln>
              <a:noFill/>
            </a:ln>
            <a:effectLst/>
          </c:spPr>
          <c:invertIfNegative val="0"/>
          <c:cat>
            <c:multiLvlStrRef>
              <c:f>Scenarier!$AA$306:$AA$307</c:f>
            </c:multiLvlStrRef>
          </c:cat>
          <c:val>
            <c:numRef>
              <c:f>Scenarier!$AC$306:$AC$307</c:f>
            </c:numRef>
          </c:val>
          <c:extLst>
            <c:ext xmlns:c16="http://schemas.microsoft.com/office/drawing/2014/chart" uri="{C3380CC4-5D6E-409C-BE32-E72D297353CC}">
              <c16:uniqueId val="{00000001-2712-4CE5-B8B8-A29FE289ECAC}"/>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37932.597864930933</c:v>
                      </c:pt>
                    </c:numCache>
                  </c:numRef>
                </c:val>
                <c:extLst>
                  <c:ext xmlns:c16="http://schemas.microsoft.com/office/drawing/2014/chart" uri="{C3380CC4-5D6E-409C-BE32-E72D297353CC}">
                    <c16:uniqueId val="{00000000-E36F-4BCB-8DD7-34E6DE0AC36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5.3154307118311577</c:v>
                      </c:pt>
                    </c:numCache>
                  </c:numRef>
                </c:val>
                <c:extLst xmlns:c15="http://schemas.microsoft.com/office/drawing/2012/chart">
                  <c:ext xmlns:c16="http://schemas.microsoft.com/office/drawing/2014/chart" uri="{C3380CC4-5D6E-409C-BE32-E72D297353CC}">
                    <c16:uniqueId val="{00000001-E36F-4BCB-8DD7-34E6DE0AC365}"/>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8950008027714652"/>
          <c:y val="7.7964332467878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Scenarier!$AA$315:$AA$316</c:f>
            </c:multiLvlStrRef>
          </c:cat>
          <c:val>
            <c:numRef>
              <c:f>Scenarier!$AB$315:$AB$316</c:f>
            </c:numRef>
          </c:val>
          <c:extLst>
            <c:ext xmlns:c16="http://schemas.microsoft.com/office/drawing/2014/chart" uri="{C3380CC4-5D6E-409C-BE32-E72D297353CC}">
              <c16:uniqueId val="{00000004-B149-47BB-AC6D-95B2529CAA47}"/>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Scenarier!$AB$314</c:f>
              <c:strCache>
                <c:ptCount val="1"/>
                <c:pt idx="0">
                  <c:v>CO2 materialer</c:v>
                </c:pt>
              </c:strCache>
            </c:strRef>
          </c:tx>
          <c:spPr>
            <a:solidFill>
              <a:schemeClr val="accent1"/>
            </a:solidFill>
            <a:ln>
              <a:noFill/>
            </a:ln>
            <a:effectLst/>
          </c:spPr>
          <c:invertIfNegative val="0"/>
          <c:cat>
            <c:multiLvlStrRef>
              <c:f>Scenarier!$AA$315:$AA$316</c:f>
            </c:multiLvlStrRef>
          </c:cat>
          <c:val>
            <c:numRef>
              <c:f>Scenarier!$AB$315:$AB$316</c:f>
            </c:numRef>
          </c:val>
          <c:extLst>
            <c:ext xmlns:c16="http://schemas.microsoft.com/office/drawing/2014/chart" uri="{C3380CC4-5D6E-409C-BE32-E72D297353CC}">
              <c16:uniqueId val="{00000000-BB05-45B8-8E2E-D61C9724B751}"/>
            </c:ext>
          </c:extLst>
        </c:ser>
        <c:ser>
          <c:idx val="1"/>
          <c:order val="1"/>
          <c:tx>
            <c:strRef>
              <c:f>Scenarier!$AC$314</c:f>
              <c:strCache>
                <c:ptCount val="1"/>
                <c:pt idx="0">
                  <c:v>CO2 varmetab</c:v>
                </c:pt>
              </c:strCache>
            </c:strRef>
          </c:tx>
          <c:spPr>
            <a:solidFill>
              <a:schemeClr val="accent2"/>
            </a:solidFill>
            <a:ln>
              <a:noFill/>
            </a:ln>
            <a:effectLst/>
          </c:spPr>
          <c:invertIfNegative val="0"/>
          <c:cat>
            <c:multiLvlStrRef>
              <c:f>Scenarier!$AA$315:$AA$316</c:f>
            </c:multiLvlStrRef>
          </c:cat>
          <c:val>
            <c:numRef>
              <c:f>Scenarier!$AC$315:$AC$316</c:f>
            </c:numRef>
          </c:val>
          <c:extLst>
            <c:ext xmlns:c16="http://schemas.microsoft.com/office/drawing/2014/chart" uri="{C3380CC4-5D6E-409C-BE32-E72D297353CC}">
              <c16:uniqueId val="{00000001-BB05-45B8-8E2E-D61C9724B751}"/>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a:t>
            </a:r>
            <a:r>
              <a:rPr lang="en-US" baseline="-25000"/>
              <a:t>2</a:t>
            </a:r>
            <a:r>
              <a:rPr lang="en-US"/>
              <a:t>/m</a:t>
            </a:r>
            <a:r>
              <a:rPr lang="en-US" baseline="30000"/>
              <a:t>2</a:t>
            </a:r>
            <a:r>
              <a:rPr lang="en-US"/>
              <a:t>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Scenarier!$AB$74</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BAC6-4C45-B3A9-AC27B4107E4F}"/>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2-BAC6-4C45-B3A9-AC27B4107E4F}"/>
              </c:ext>
            </c:extLst>
          </c:dPt>
          <c:cat>
            <c:strRef>
              <c:f>Scenarier!$AA$75:$AA$76</c:f>
              <c:strCache>
                <c:ptCount val="2"/>
                <c:pt idx="0">
                  <c:v>Scenarie 1</c:v>
                </c:pt>
                <c:pt idx="1">
                  <c:v>Scenarie 2</c:v>
                </c:pt>
              </c:strCache>
            </c:strRef>
          </c:cat>
          <c:val>
            <c:numRef>
              <c:f>Scenarier!$AB$75:$AB$76</c:f>
              <c:numCache>
                <c:formatCode>General</c:formatCode>
                <c:ptCount val="2"/>
                <c:pt idx="0">
                  <c:v>1.8966298932465468</c:v>
                </c:pt>
                <c:pt idx="1">
                  <c:v>0.26577153559155786</c:v>
                </c:pt>
              </c:numCache>
            </c:numRef>
          </c:val>
          <c:extLst>
            <c:ext xmlns:c16="http://schemas.microsoft.com/office/drawing/2014/chart" uri="{C3380CC4-5D6E-409C-BE32-E72D297353CC}">
              <c16:uniqueId val="{00000000-5761-463A-9D9D-F3788BC255E5}"/>
            </c:ext>
          </c:extLst>
        </c:ser>
        <c:ser>
          <c:idx val="1"/>
          <c:order val="1"/>
          <c:tx>
            <c:strRef>
              <c:f>Scenarier!$AC$74</c:f>
              <c:strCache>
                <c:ptCount val="1"/>
                <c:pt idx="0">
                  <c:v>CO2 varmetab</c:v>
                </c:pt>
              </c:strCache>
            </c:strRef>
          </c:tx>
          <c:spPr>
            <a:solidFill>
              <a:schemeClr val="accent1"/>
            </a:solidFill>
            <a:ln>
              <a:noFill/>
            </a:ln>
            <a:effectLst/>
          </c:spPr>
          <c:invertIfNegative val="0"/>
          <c:cat>
            <c:strRef>
              <c:f>Scenarier!$AA$75:$AA$76</c:f>
              <c:strCache>
                <c:ptCount val="2"/>
                <c:pt idx="0">
                  <c:v>Scenarie 1</c:v>
                </c:pt>
                <c:pt idx="1">
                  <c:v>Scenarie 2</c:v>
                </c:pt>
              </c:strCache>
            </c:strRef>
          </c:cat>
          <c:val>
            <c:numRef>
              <c:f>Scenarier!$AC$75:$AC$76</c:f>
              <c:numCache>
                <c:formatCode>General</c:formatCode>
                <c:ptCount val="2"/>
                <c:pt idx="0">
                  <c:v>0.51345227490286982</c:v>
                </c:pt>
                <c:pt idx="1">
                  <c:v>0.55416081355932212</c:v>
                </c:pt>
              </c:numCache>
            </c:numRef>
          </c:val>
          <c:extLst>
            <c:ext xmlns:c16="http://schemas.microsoft.com/office/drawing/2014/chart" uri="{C3380CC4-5D6E-409C-BE32-E72D297353CC}">
              <c16:uniqueId val="{00000001-5761-463A-9D9D-F3788BC255E5}"/>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37932.597864930933</c:v>
                      </c:pt>
                    </c:numCache>
                  </c:numRef>
                </c:val>
                <c:extLst>
                  <c:ext xmlns:c16="http://schemas.microsoft.com/office/drawing/2014/chart" uri="{C3380CC4-5D6E-409C-BE32-E72D297353CC}">
                    <c16:uniqueId val="{00000000-60C5-4252-8111-CDBE4DFD232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5.3154307118311577</c:v>
                      </c:pt>
                    </c:numCache>
                  </c:numRef>
                </c:val>
                <c:extLst xmlns:c15="http://schemas.microsoft.com/office/drawing/2012/chart">
                  <c:ext xmlns:c16="http://schemas.microsoft.com/office/drawing/2014/chart" uri="{C3380CC4-5D6E-409C-BE32-E72D297353CC}">
                    <c16:uniqueId val="{00000001-60C5-4252-8111-CDBE4DFD2324}"/>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155914770498397"/>
          <c:y val="8.37282579955739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Scenarier!$AA$324:$AA$325</c:f>
            </c:multiLvlStrRef>
          </c:cat>
          <c:val>
            <c:numRef>
              <c:f>Scenarier!$AB$324:$AB$325</c:f>
            </c:numRef>
          </c:val>
          <c:extLst>
            <c:ext xmlns:c16="http://schemas.microsoft.com/office/drawing/2014/chart" uri="{C3380CC4-5D6E-409C-BE32-E72D297353CC}">
              <c16:uniqueId val="{00000000-9DFC-4A8A-A4CF-57DE220AE7D1}"/>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sz="1200"/>
            </a:pPr>
            <a:r>
              <a:rPr lang="da-DK" sz="1200"/>
              <a:t>[kg CO2/m2 pr. år]</a:t>
            </a:r>
          </a:p>
          <a:p>
            <a:pPr>
              <a:defRPr sz="1200"/>
            </a:pPr>
            <a:endParaRPr lang="da-DK" sz="1200"/>
          </a:p>
        </c:rich>
      </c:tx>
      <c:layout>
        <c:manualLayout>
          <c:xMode val="edge"/>
          <c:yMode val="edge"/>
          <c:x val="0.19798566029785497"/>
          <c:y val="8.995317208137200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BD2B-4470-89EC-ED06CB4820BF}"/>
              </c:ext>
            </c:extLst>
          </c:dPt>
          <c:dPt>
            <c:idx val="1"/>
            <c:invertIfNegative val="0"/>
            <c:bubble3D val="0"/>
            <c:spPr>
              <a:solidFill>
                <a:srgbClr val="A7D6EF"/>
              </a:solidFill>
              <a:ln>
                <a:noFill/>
              </a:ln>
              <a:effectLst/>
            </c:spPr>
            <c:extLst>
              <c:ext xmlns:c16="http://schemas.microsoft.com/office/drawing/2014/chart" uri="{C3380CC4-5D6E-409C-BE32-E72D297353CC}">
                <c16:uniqueId val="{00000000-BD2B-4470-89EC-ED06CB4820BF}"/>
              </c:ext>
            </c:extLst>
          </c:dPt>
          <c:cat>
            <c:strRef>
              <c:f>Scenarier!$AA$354:$AA$355</c:f>
              <c:strCache>
                <c:ptCount val="2"/>
                <c:pt idx="0">
                  <c:v>Scenarie 1</c:v>
                </c:pt>
                <c:pt idx="1">
                  <c:v>Scenarie 2</c:v>
                </c:pt>
              </c:strCache>
            </c:strRef>
          </c:cat>
          <c:val>
            <c:numRef>
              <c:f>Scenarier!$AB$354:$AB$355</c:f>
              <c:numCache>
                <c:formatCode>General</c:formatCode>
                <c:ptCount val="2"/>
                <c:pt idx="0">
                  <c:v>0</c:v>
                </c:pt>
                <c:pt idx="1">
                  <c:v>0</c:v>
                </c:pt>
              </c:numCache>
            </c:numRef>
          </c:val>
          <c:extLst>
            <c:ext xmlns:c16="http://schemas.microsoft.com/office/drawing/2014/chart" uri="{C3380CC4-5D6E-409C-BE32-E72D297353CC}">
              <c16:uniqueId val="{00000004-5BBC-4B44-B144-5EB6F10383B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sz="1200"/>
            </a:pPr>
            <a:r>
              <a:rPr lang="da-DK" sz="1200"/>
              <a:t>[kg CO2/m2 pr. år]</a:t>
            </a:r>
          </a:p>
          <a:p>
            <a:pPr>
              <a:defRPr sz="1200"/>
            </a:pPr>
            <a:endParaRPr lang="da-DK" sz="1200"/>
          </a:p>
        </c:rich>
      </c:tx>
      <c:layout>
        <c:manualLayout>
          <c:xMode val="edge"/>
          <c:yMode val="edge"/>
          <c:x val="0.1900226662786883"/>
          <c:y val="8.582993660694279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Scenarier!$AA$364:$AA$365</c:f>
            </c:multiLvlStrRef>
          </c:cat>
          <c:val>
            <c:numRef>
              <c:f>Scenarier!$AB$364:$AB$365</c:f>
            </c:numRef>
          </c:val>
          <c:extLst>
            <c:ext xmlns:c16="http://schemas.microsoft.com/office/drawing/2014/chart" uri="{C3380CC4-5D6E-409C-BE32-E72D297353CC}">
              <c16:uniqueId val="{00000004-49AD-40EC-9CAF-CABB93E8D9F9}"/>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097489007710149"/>
          <c:y val="7.36283050833334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Scenarier!$AA$384:$AA$385</c:f>
            </c:multiLvlStrRef>
          </c:cat>
          <c:val>
            <c:numRef>
              <c:f>Scenarier!$AB$384:$AB$385</c:f>
            </c:numRef>
          </c:val>
          <c:extLst>
            <c:ext xmlns:c16="http://schemas.microsoft.com/office/drawing/2014/chart" uri="{C3380CC4-5D6E-409C-BE32-E72D297353CC}">
              <c16:uniqueId val="{00000004-D23F-4108-B716-98CEFC65BE0D}"/>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95795981614958"/>
          <c:y val="8.93836773076034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BE64-434E-B611-448457CF8D2B}"/>
              </c:ext>
            </c:extLst>
          </c:dPt>
          <c:dPt>
            <c:idx val="1"/>
            <c:invertIfNegative val="0"/>
            <c:bubble3D val="0"/>
            <c:spPr>
              <a:solidFill>
                <a:srgbClr val="A7D6EF"/>
              </a:solidFill>
              <a:ln>
                <a:noFill/>
              </a:ln>
              <a:effectLst/>
            </c:spPr>
            <c:extLst>
              <c:ext xmlns:c16="http://schemas.microsoft.com/office/drawing/2014/chart" uri="{C3380CC4-5D6E-409C-BE32-E72D297353CC}">
                <c16:uniqueId val="{00000000-BE64-434E-B611-448457CF8D2B}"/>
              </c:ext>
            </c:extLst>
          </c:dPt>
          <c:cat>
            <c:strRef>
              <c:f>Scenarier!$AA$414:$AA$415</c:f>
              <c:strCache>
                <c:ptCount val="2"/>
                <c:pt idx="0">
                  <c:v>Scenarie 1</c:v>
                </c:pt>
                <c:pt idx="1">
                  <c:v>Scenarie 2</c:v>
                </c:pt>
              </c:strCache>
            </c:strRef>
          </c:cat>
          <c:val>
            <c:numRef>
              <c:f>Scenarier!$AB$414:$AB$415</c:f>
              <c:numCache>
                <c:formatCode>General</c:formatCode>
                <c:ptCount val="2"/>
                <c:pt idx="0">
                  <c:v>0</c:v>
                </c:pt>
                <c:pt idx="1">
                  <c:v>0</c:v>
                </c:pt>
              </c:numCache>
            </c:numRef>
          </c:val>
          <c:extLst>
            <c:ext xmlns:c16="http://schemas.microsoft.com/office/drawing/2014/chart" uri="{C3380CC4-5D6E-409C-BE32-E72D297353CC}">
              <c16:uniqueId val="{00000004-DC65-4CA6-9057-66B50E095B92}"/>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733842628412427"/>
          <c:y val="7.71909128293546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Scenarier!$AA$424:$AA$425</c:f>
            </c:multiLvlStrRef>
          </c:cat>
          <c:val>
            <c:numRef>
              <c:f>Scenarier!$AB$424:$AB$425</c:f>
            </c:numRef>
          </c:val>
          <c:extLst>
            <c:ext xmlns:c16="http://schemas.microsoft.com/office/drawing/2014/chart" uri="{C3380CC4-5D6E-409C-BE32-E72D297353CC}">
              <c16:uniqueId val="{00000004-0162-41B5-B049-8F8AC175C89D}"/>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da-DK" sz="1200" b="1"/>
              <a:t>CO2-aftryk</a:t>
            </a:r>
          </a:p>
        </c:rich>
      </c:tx>
      <c:layout>
        <c:manualLayout>
          <c:xMode val="edge"/>
          <c:yMode val="edge"/>
          <c:x val="0.35473518972783802"/>
          <c:y val="3.037083808298167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title>
          <c:tx>
            <c:strRef>
              <c:f>Scenarier!$AC$339</c:f>
              <c:strCache>
                <c:ptCount val="1"/>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92072191"/>
        <c:crosses val="autoZero"/>
        <c:crossBetween val="between"/>
      </c:valAx>
      <c:spPr>
        <a:noFill/>
        <a:ln w="25400">
          <a:noFill/>
        </a:ln>
        <a:effectLst/>
      </c:spPr>
    </c:plotArea>
    <c:legend>
      <c:legendPos val="b"/>
      <c:layout>
        <c:manualLayout>
          <c:xMode val="edge"/>
          <c:yMode val="edge"/>
          <c:x val="0.14095291043863201"/>
          <c:y val="0.91394745330800553"/>
          <c:w val="0.71809417912273599"/>
          <c:h val="8.6052546691994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666730590780521"/>
          <c:y val="8.10533600967778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Scenarier!$AA$434:$AA$435</c:f>
            </c:multiLvlStrRef>
          </c:cat>
          <c:val>
            <c:numRef>
              <c:f>Scenarier!$AB$434:$AB$435</c:f>
            </c:numRef>
          </c:val>
          <c:extLst>
            <c:ext xmlns:c16="http://schemas.microsoft.com/office/drawing/2014/chart" uri="{C3380CC4-5D6E-409C-BE32-E72D297353CC}">
              <c16:uniqueId val="{00000004-7CDA-4506-8E24-CA21034CA968}"/>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641369181183957"/>
          <c:y val="8.915268902960786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Scenarier!$AA$444:$AA$445</c:f>
            </c:multiLvlStrRef>
          </c:cat>
          <c:val>
            <c:numRef>
              <c:f>Scenarier!$AB$444:$AB$445</c:f>
            </c:numRef>
          </c:val>
          <c:extLst>
            <c:ext xmlns:c16="http://schemas.microsoft.com/office/drawing/2014/chart" uri="{C3380CC4-5D6E-409C-BE32-E72D297353CC}">
              <c16:uniqueId val="{00000004-6FCC-4ECA-A5F4-4F1EF6DA7193}"/>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5670008458250743"/>
          <c:y val="8.96343084119764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AD32-4669-B1A8-889A10DB67E6}"/>
              </c:ext>
            </c:extLst>
          </c:dPt>
          <c:dPt>
            <c:idx val="1"/>
            <c:invertIfNegative val="0"/>
            <c:bubble3D val="0"/>
            <c:spPr>
              <a:solidFill>
                <a:srgbClr val="A7D6EF"/>
              </a:solidFill>
              <a:ln>
                <a:noFill/>
              </a:ln>
              <a:effectLst/>
            </c:spPr>
            <c:extLst>
              <c:ext xmlns:c16="http://schemas.microsoft.com/office/drawing/2014/chart" uri="{C3380CC4-5D6E-409C-BE32-E72D297353CC}">
                <c16:uniqueId val="{00000000-AD32-4669-B1A8-889A10DB67E6}"/>
              </c:ext>
            </c:extLst>
          </c:dPt>
          <c:cat>
            <c:strRef>
              <c:f>Scenarier!$AA$86:$AA$87</c:f>
              <c:strCache>
                <c:ptCount val="2"/>
                <c:pt idx="0">
                  <c:v>Scenarie 1</c:v>
                </c:pt>
                <c:pt idx="1">
                  <c:v>Scenarie 2</c:v>
                </c:pt>
              </c:strCache>
            </c:strRef>
          </c:cat>
          <c:val>
            <c:numRef>
              <c:f>Scenarier!$AB$86:$AB$87</c:f>
              <c:numCache>
                <c:formatCode>General</c:formatCode>
                <c:ptCount val="2"/>
                <c:pt idx="0">
                  <c:v>0</c:v>
                </c:pt>
                <c:pt idx="1">
                  <c:v>0</c:v>
                </c:pt>
              </c:numCache>
            </c:numRef>
          </c:val>
          <c:extLst>
            <c:ext xmlns:c16="http://schemas.microsoft.com/office/drawing/2014/chart" uri="{C3380CC4-5D6E-409C-BE32-E72D297353CC}">
              <c16:uniqueId val="{00000004-48DA-4632-9699-DF0D04DAA94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Scenarier!$AB$323</c:f>
              <c:strCache>
                <c:ptCount val="1"/>
                <c:pt idx="0">
                  <c:v>CO2 materialer</c:v>
                </c:pt>
              </c:strCache>
            </c:strRef>
          </c:tx>
          <c:spPr>
            <a:solidFill>
              <a:schemeClr val="accent1"/>
            </a:solidFill>
            <a:ln>
              <a:noFill/>
            </a:ln>
            <a:effectLst/>
          </c:spPr>
          <c:invertIfNegative val="0"/>
          <c:cat>
            <c:multiLvlStrRef>
              <c:f>Scenarier!$AA$324:$AA$325</c:f>
            </c:multiLvlStrRef>
          </c:cat>
          <c:val>
            <c:numRef>
              <c:f>Scenarier!$AB$324:$AB$325</c:f>
            </c:numRef>
          </c:val>
          <c:extLst>
            <c:ext xmlns:c16="http://schemas.microsoft.com/office/drawing/2014/chart" uri="{C3380CC4-5D6E-409C-BE32-E72D297353CC}">
              <c16:uniqueId val="{00000004-EDED-4775-B689-A4BCEAC544CD}"/>
            </c:ext>
          </c:extLst>
        </c:ser>
        <c:ser>
          <c:idx val="1"/>
          <c:order val="1"/>
          <c:tx>
            <c:strRef>
              <c:f>Scenarier!$AC$323</c:f>
              <c:strCache>
                <c:ptCount val="1"/>
                <c:pt idx="0">
                  <c:v>CO2 varmetab</c:v>
                </c:pt>
              </c:strCache>
            </c:strRef>
          </c:tx>
          <c:spPr>
            <a:solidFill>
              <a:schemeClr val="accent2"/>
            </a:solidFill>
            <a:ln>
              <a:noFill/>
            </a:ln>
            <a:effectLst/>
          </c:spPr>
          <c:invertIfNegative val="0"/>
          <c:cat>
            <c:multiLvlStrRef>
              <c:f>Scenarier!$AA$324:$AA$325</c:f>
            </c:multiLvlStrRef>
          </c:cat>
          <c:val>
            <c:numRef>
              <c:f>Scenarier!$AC$324:$AC$325</c:f>
            </c:numRef>
          </c:val>
          <c:extLst>
            <c:ext xmlns:c16="http://schemas.microsoft.com/office/drawing/2014/chart" uri="{C3380CC4-5D6E-409C-BE32-E72D297353CC}">
              <c16:uniqueId val="{00000005-EDED-4775-B689-A4BCEAC544CD}"/>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5829163550936213"/>
          <c:y val="8.30219136250124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3F78-4307-9517-AB4D3885EB3C}"/>
              </c:ext>
            </c:extLst>
          </c:dPt>
          <c:dPt>
            <c:idx val="1"/>
            <c:invertIfNegative val="0"/>
            <c:bubble3D val="0"/>
            <c:spPr>
              <a:solidFill>
                <a:srgbClr val="A7D6EF"/>
              </a:solidFill>
              <a:ln>
                <a:noFill/>
              </a:ln>
              <a:effectLst/>
            </c:spPr>
            <c:extLst>
              <c:ext xmlns:c16="http://schemas.microsoft.com/office/drawing/2014/chart" uri="{C3380CC4-5D6E-409C-BE32-E72D297353CC}">
                <c16:uniqueId val="{00000000-3F78-4307-9517-AB4D3885EB3C}"/>
              </c:ext>
            </c:extLst>
          </c:dPt>
          <c:cat>
            <c:strRef>
              <c:f>Scenarier!$AA$465:$AA$466</c:f>
              <c:strCache>
                <c:ptCount val="2"/>
                <c:pt idx="0">
                  <c:v>Scenarie 1</c:v>
                </c:pt>
                <c:pt idx="1">
                  <c:v>Scenarie 2</c:v>
                </c:pt>
              </c:strCache>
            </c:strRef>
          </c:cat>
          <c:val>
            <c:numRef>
              <c:f>Scenarier!$AB$465:$AB$466</c:f>
              <c:numCache>
                <c:formatCode>General</c:formatCode>
                <c:ptCount val="2"/>
                <c:pt idx="0">
                  <c:v>0</c:v>
                </c:pt>
                <c:pt idx="1">
                  <c:v>0</c:v>
                </c:pt>
              </c:numCache>
            </c:numRef>
          </c:val>
          <c:extLst>
            <c:ext xmlns:c16="http://schemas.microsoft.com/office/drawing/2014/chart" uri="{C3380CC4-5D6E-409C-BE32-E72D297353CC}">
              <c16:uniqueId val="{00000004-4368-4924-8B7A-504B7FF0D28E}"/>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Scenarier!$AB$85</c:f>
              <c:strCache>
                <c:ptCount val="1"/>
                <c:pt idx="0">
                  <c:v>CO2 materialer</c:v>
                </c:pt>
              </c:strCache>
            </c:strRef>
          </c:tx>
          <c:spPr>
            <a:solidFill>
              <a:schemeClr val="accent1"/>
            </a:solidFill>
            <a:ln>
              <a:noFill/>
            </a:ln>
            <a:effectLst/>
          </c:spPr>
          <c:invertIfNegative val="0"/>
          <c:cat>
            <c:strRef>
              <c:f>Scenarier!$AA$86:$AA$87</c:f>
              <c:strCache>
                <c:ptCount val="2"/>
                <c:pt idx="0">
                  <c:v>Scenarie 1</c:v>
                </c:pt>
                <c:pt idx="1">
                  <c:v>Scenarie 2</c:v>
                </c:pt>
              </c:strCache>
            </c:strRef>
          </c:cat>
          <c:val>
            <c:numRef>
              <c:f>Scenarier!$AB$86:$AB$87</c:f>
              <c:numCache>
                <c:formatCode>General</c:formatCode>
                <c:ptCount val="2"/>
                <c:pt idx="0">
                  <c:v>0</c:v>
                </c:pt>
                <c:pt idx="1">
                  <c:v>0</c:v>
                </c:pt>
              </c:numCache>
            </c:numRef>
          </c:val>
          <c:extLst>
            <c:ext xmlns:c16="http://schemas.microsoft.com/office/drawing/2014/chart" uri="{C3380CC4-5D6E-409C-BE32-E72D297353CC}">
              <c16:uniqueId val="{00000004-05CC-4EBA-9DB0-AB945EBEC323}"/>
            </c:ext>
          </c:extLst>
        </c:ser>
        <c:ser>
          <c:idx val="1"/>
          <c:order val="1"/>
          <c:tx>
            <c:strRef>
              <c:f>Scenarier!$AC$85</c:f>
              <c:strCache>
                <c:ptCount val="1"/>
                <c:pt idx="0">
                  <c:v>CO2 varmetab</c:v>
                </c:pt>
              </c:strCache>
            </c:strRef>
          </c:tx>
          <c:spPr>
            <a:solidFill>
              <a:schemeClr val="accent2"/>
            </a:solidFill>
            <a:ln>
              <a:noFill/>
            </a:ln>
            <a:effectLst/>
          </c:spPr>
          <c:invertIfNegative val="0"/>
          <c:cat>
            <c:strRef>
              <c:f>Scenarier!$AA$86:$AA$87</c:f>
              <c:strCache>
                <c:ptCount val="2"/>
                <c:pt idx="0">
                  <c:v>Scenarie 1</c:v>
                </c:pt>
                <c:pt idx="1">
                  <c:v>Scenarie 2</c:v>
                </c:pt>
              </c:strCache>
            </c:strRef>
          </c:cat>
          <c:val>
            <c:numRef>
              <c:f>Scenarier!$AC$86:$AC$87</c:f>
              <c:numCache>
                <c:formatCode>General</c:formatCode>
                <c:ptCount val="2"/>
                <c:pt idx="0">
                  <c:v>0</c:v>
                </c:pt>
                <c:pt idx="1">
                  <c:v>0</c:v>
                </c:pt>
              </c:numCache>
            </c:numRef>
          </c:val>
          <c:extLst>
            <c:ext xmlns:c16="http://schemas.microsoft.com/office/drawing/2014/chart" uri="{C3380CC4-5D6E-409C-BE32-E72D297353CC}">
              <c16:uniqueId val="{00000005-05CC-4EBA-9DB0-AB945EBEC323}"/>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sz="1200"/>
            </a:pPr>
            <a:r>
              <a:rPr lang="da-DK" sz="1200"/>
              <a:t>[kg CO2/m2 pr. år]</a:t>
            </a:r>
          </a:p>
          <a:p>
            <a:pPr>
              <a:defRPr sz="1200"/>
            </a:pPr>
            <a:endParaRPr lang="da-DK" sz="1200"/>
          </a:p>
        </c:rich>
      </c:tx>
      <c:layout>
        <c:manualLayout>
          <c:xMode val="edge"/>
          <c:yMode val="edge"/>
          <c:x val="0.23561256468667294"/>
          <c:y val="9.810203972652174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7204-4893-B54D-E571308BD3A3}"/>
              </c:ext>
            </c:extLst>
          </c:dPt>
          <c:dPt>
            <c:idx val="1"/>
            <c:invertIfNegative val="0"/>
            <c:bubble3D val="0"/>
            <c:spPr>
              <a:solidFill>
                <a:srgbClr val="A7D6EF"/>
              </a:solidFill>
              <a:ln>
                <a:noFill/>
              </a:ln>
              <a:effectLst/>
            </c:spPr>
            <c:extLst>
              <c:ext xmlns:c16="http://schemas.microsoft.com/office/drawing/2014/chart" uri="{C3380CC4-5D6E-409C-BE32-E72D297353CC}">
                <c16:uniqueId val="{00000000-7204-4893-B54D-E571308BD3A3}"/>
              </c:ext>
            </c:extLst>
          </c:dPt>
          <c:cat>
            <c:strRef>
              <c:f>Scenarier!$AA$476:$AA$477</c:f>
              <c:strCache>
                <c:ptCount val="2"/>
                <c:pt idx="0">
                  <c:v>Scenarie 1</c:v>
                </c:pt>
                <c:pt idx="1">
                  <c:v>Scenarie 2</c:v>
                </c:pt>
              </c:strCache>
            </c:strRef>
          </c:cat>
          <c:val>
            <c:numRef>
              <c:f>Scenarier!$AB$476:$AB$477</c:f>
              <c:numCache>
                <c:formatCode>General</c:formatCode>
                <c:ptCount val="2"/>
                <c:pt idx="0">
                  <c:v>0</c:v>
                </c:pt>
                <c:pt idx="1">
                  <c:v>0</c:v>
                </c:pt>
              </c:numCache>
            </c:numRef>
          </c:val>
          <c:extLst>
            <c:ext xmlns:c16="http://schemas.microsoft.com/office/drawing/2014/chart" uri="{C3380CC4-5D6E-409C-BE32-E72D297353CC}">
              <c16:uniqueId val="{00000002-B5A2-48BB-8392-E033FDF99915}"/>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125493907922716"/>
          <c:y val="9.34418387261502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863A-45BB-B1C4-2AD73EAF4C59}"/>
              </c:ext>
            </c:extLst>
          </c:dPt>
          <c:dPt>
            <c:idx val="1"/>
            <c:invertIfNegative val="0"/>
            <c:bubble3D val="0"/>
            <c:spPr>
              <a:solidFill>
                <a:srgbClr val="A7D6EF"/>
              </a:solidFill>
              <a:ln>
                <a:noFill/>
              </a:ln>
              <a:effectLst/>
            </c:spPr>
            <c:extLst>
              <c:ext xmlns:c16="http://schemas.microsoft.com/office/drawing/2014/chart" uri="{C3380CC4-5D6E-409C-BE32-E72D297353CC}">
                <c16:uniqueId val="{00000000-863A-45BB-B1C4-2AD73EAF4C59}"/>
              </c:ext>
            </c:extLst>
          </c:dPt>
          <c:cat>
            <c:strRef>
              <c:f>Scenarier!$AA$486:$AA$487</c:f>
              <c:strCache>
                <c:ptCount val="2"/>
                <c:pt idx="0">
                  <c:v>Scenarie 1</c:v>
                </c:pt>
                <c:pt idx="1">
                  <c:v>Scenarie 2</c:v>
                </c:pt>
              </c:strCache>
            </c:strRef>
          </c:cat>
          <c:val>
            <c:numRef>
              <c:f>Scenarier!$AB$486:$AB$487</c:f>
              <c:numCache>
                <c:formatCode>General</c:formatCode>
                <c:ptCount val="2"/>
                <c:pt idx="0">
                  <c:v>0</c:v>
                </c:pt>
                <c:pt idx="1">
                  <c:v>0</c:v>
                </c:pt>
              </c:numCache>
            </c:numRef>
          </c:val>
          <c:extLst>
            <c:ext xmlns:c16="http://schemas.microsoft.com/office/drawing/2014/chart" uri="{C3380CC4-5D6E-409C-BE32-E72D297353CC}">
              <c16:uniqueId val="{00000000-6AA6-4144-9748-37ACF43EBFE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Fordeling af CO</a:t>
            </a:r>
            <a:r>
              <a:rPr lang="da-DK" baseline="-25000"/>
              <a:t>2</a:t>
            </a:r>
            <a:r>
              <a:rPr lang="da-DK"/>
              <a:t> aftryk på konstruktionstyper</a:t>
            </a:r>
            <a:br>
              <a:rPr lang="da-DK"/>
            </a:br>
            <a:r>
              <a:rPr lang="da-DK"/>
              <a:t>[kg CO</a:t>
            </a:r>
            <a:r>
              <a:rPr lang="da-DK" baseline="-25000"/>
              <a:t>2</a:t>
            </a:r>
            <a:r>
              <a:rPr lang="da-DK"/>
              <a:t> pr. m</a:t>
            </a:r>
            <a:r>
              <a:rPr lang="da-DK" baseline="30000"/>
              <a:t>2</a:t>
            </a:r>
            <a:r>
              <a:rPr lang="da-DK"/>
              <a:t> </a:t>
            </a:r>
            <a:r>
              <a:rPr lang="da-DK" baseline="0"/>
              <a:t>pr. år]</a:t>
            </a:r>
            <a:endParaRPr lang="da-DK"/>
          </a:p>
          <a:p>
            <a:pPr>
              <a:defRPr/>
            </a:pP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6.403822781679841E-2"/>
          <c:y val="0.11382563307292691"/>
          <c:w val="0.91680286929888199"/>
          <c:h val="0.62961085208434886"/>
        </c:manualLayout>
      </c:layout>
      <c:barChart>
        <c:barDir val="col"/>
        <c:grouping val="clustered"/>
        <c:varyColors val="0"/>
        <c:ser>
          <c:idx val="0"/>
          <c:order val="0"/>
          <c:tx>
            <c:strRef>
              <c:f>Scenarier!$Y$36</c:f>
              <c:strCache>
                <c:ptCount val="1"/>
                <c:pt idx="0">
                  <c:v>Scenarie 1 </c:v>
                </c:pt>
              </c:strCache>
            </c:strRef>
          </c:tx>
          <c:spPr>
            <a:solidFill>
              <a:schemeClr val="tx2">
                <a:lumMod val="40000"/>
                <a:lumOff val="60000"/>
              </a:schemeClr>
            </a:solidFill>
            <a:ln>
              <a:noFill/>
            </a:ln>
            <a:effectLst/>
          </c:spPr>
          <c:invertIfNegative val="0"/>
          <c:cat>
            <c:strRef>
              <c:f>Scenarier!$X$38:$X$46</c:f>
              <c:strCache>
                <c:ptCount val="9"/>
                <c:pt idx="0">
                  <c:v>Ydervægge</c:v>
                </c:pt>
                <c:pt idx="1">
                  <c:v>Tagkonstruktioner</c:v>
                </c:pt>
                <c:pt idx="2">
                  <c:v>Terrændæk</c:v>
                </c:pt>
                <c:pt idx="3">
                  <c:v>Fundament</c:v>
                </c:pt>
                <c:pt idx="4">
                  <c:v>Vinduer</c:v>
                </c:pt>
                <c:pt idx="5">
                  <c:v>Skillevægge</c:v>
                </c:pt>
                <c:pt idx="6">
                  <c:v>Installationer</c:v>
                </c:pt>
                <c:pt idx="7">
                  <c:v>Etagedæk</c:v>
                </c:pt>
                <c:pt idx="8">
                  <c:v>Kælder</c:v>
                </c:pt>
              </c:strCache>
            </c:strRef>
          </c:cat>
          <c:val>
            <c:numRef>
              <c:f>Scenarier!$Y$38:$Y$46</c:f>
              <c:numCache>
                <c:formatCode>General</c:formatCode>
                <c:ptCount val="9"/>
                <c:pt idx="0">
                  <c:v>1.8966298932465466</c:v>
                </c:pt>
                <c:pt idx="1">
                  <c:v>1.0322537545784618</c:v>
                </c:pt>
                <c:pt idx="2">
                  <c:v>1.2695860192999999</c:v>
                </c:pt>
                <c:pt idx="3">
                  <c:v>0.76477499999999987</c:v>
                </c:pt>
                <c:pt idx="4">
                  <c:v>1.2257166239999997</c:v>
                </c:pt>
                <c:pt idx="5">
                  <c:v>0.94413094019999988</c:v>
                </c:pt>
                <c:pt idx="6">
                  <c:v>1.2</c:v>
                </c:pt>
                <c:pt idx="7">
                  <c:v>0.86546516974297427</c:v>
                </c:pt>
                <c:pt idx="8">
                  <c:v>0</c:v>
                </c:pt>
              </c:numCache>
            </c:numRef>
          </c:val>
          <c:extLst>
            <c:ext xmlns:c16="http://schemas.microsoft.com/office/drawing/2014/chart" uri="{C3380CC4-5D6E-409C-BE32-E72D297353CC}">
              <c16:uniqueId val="{00000000-7F6A-490F-8FE1-FB0EEC8DC447}"/>
            </c:ext>
          </c:extLst>
        </c:ser>
        <c:ser>
          <c:idx val="1"/>
          <c:order val="1"/>
          <c:tx>
            <c:strRef>
              <c:f>Scenarier!$Z$36</c:f>
              <c:strCache>
                <c:ptCount val="1"/>
                <c:pt idx="0">
                  <c:v>Scenarie 2</c:v>
                </c:pt>
              </c:strCache>
            </c:strRef>
          </c:tx>
          <c:spPr>
            <a:solidFill>
              <a:srgbClr val="A7D6EF"/>
            </a:solidFill>
            <a:ln>
              <a:noFill/>
            </a:ln>
            <a:effectLst/>
          </c:spPr>
          <c:invertIfNegative val="0"/>
          <c:cat>
            <c:strRef>
              <c:f>Scenarier!$X$38:$X$46</c:f>
              <c:strCache>
                <c:ptCount val="9"/>
                <c:pt idx="0">
                  <c:v>Ydervægge</c:v>
                </c:pt>
                <c:pt idx="1">
                  <c:v>Tagkonstruktioner</c:v>
                </c:pt>
                <c:pt idx="2">
                  <c:v>Terrændæk</c:v>
                </c:pt>
                <c:pt idx="3">
                  <c:v>Fundament</c:v>
                </c:pt>
                <c:pt idx="4">
                  <c:v>Vinduer</c:v>
                </c:pt>
                <c:pt idx="5">
                  <c:v>Skillevægge</c:v>
                </c:pt>
                <c:pt idx="6">
                  <c:v>Installationer</c:v>
                </c:pt>
                <c:pt idx="7">
                  <c:v>Etagedæk</c:v>
                </c:pt>
                <c:pt idx="8">
                  <c:v>Kælder</c:v>
                </c:pt>
              </c:strCache>
            </c:strRef>
          </c:cat>
          <c:val>
            <c:numRef>
              <c:f>Scenarier!$Z$38:$Z$46</c:f>
              <c:numCache>
                <c:formatCode>General</c:formatCode>
                <c:ptCount val="9"/>
                <c:pt idx="0">
                  <c:v>0.26577153559155792</c:v>
                </c:pt>
                <c:pt idx="1">
                  <c:v>0.28639657637966115</c:v>
                </c:pt>
                <c:pt idx="2">
                  <c:v>0.72779971547857203</c:v>
                </c:pt>
                <c:pt idx="3">
                  <c:v>0.24471000000000001</c:v>
                </c:pt>
                <c:pt idx="4">
                  <c:v>1.2257166239999997</c:v>
                </c:pt>
                <c:pt idx="5">
                  <c:v>5.0829795328421051E-2</c:v>
                </c:pt>
                <c:pt idx="6">
                  <c:v>1.2</c:v>
                </c:pt>
                <c:pt idx="7">
                  <c:v>0.18862053008500004</c:v>
                </c:pt>
                <c:pt idx="8">
                  <c:v>0</c:v>
                </c:pt>
              </c:numCache>
            </c:numRef>
          </c:val>
          <c:extLst>
            <c:ext xmlns:c16="http://schemas.microsoft.com/office/drawing/2014/chart" uri="{C3380CC4-5D6E-409C-BE32-E72D297353CC}">
              <c16:uniqueId val="{00000001-7F6A-490F-8FE1-FB0EEC8DC447}"/>
            </c:ext>
          </c:extLst>
        </c:ser>
        <c:dLbls>
          <c:showLegendKey val="0"/>
          <c:showVal val="0"/>
          <c:showCatName val="0"/>
          <c:showSerName val="0"/>
          <c:showPercent val="0"/>
          <c:showBubbleSize val="0"/>
        </c:dLbls>
        <c:gapWidth val="219"/>
        <c:overlap val="-27"/>
        <c:axId val="2062182592"/>
        <c:axId val="344812272"/>
      </c:barChart>
      <c:catAx>
        <c:axId val="2062182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344812272"/>
        <c:crosses val="autoZero"/>
        <c:auto val="1"/>
        <c:lblAlgn val="ctr"/>
        <c:lblOffset val="100"/>
        <c:noMultiLvlLbl val="0"/>
      </c:catAx>
      <c:valAx>
        <c:axId val="344812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crossAx val="206218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266591299943557"/>
          <c:y val="6.67195303544040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tx2">
                <a:lumMod val="40000"/>
                <a:lumOff val="60000"/>
              </a:schemeClr>
            </a:solidFill>
            <a:ln>
              <a:noFill/>
            </a:ln>
            <a:effectLst/>
          </c:spPr>
          <c:invertIfNegative val="0"/>
          <c:dPt>
            <c:idx val="1"/>
            <c:invertIfNegative val="0"/>
            <c:bubble3D val="0"/>
            <c:spPr>
              <a:solidFill>
                <a:srgbClr val="A7D6EF"/>
              </a:solidFill>
              <a:ln>
                <a:noFill/>
              </a:ln>
              <a:effectLst/>
            </c:spPr>
            <c:extLst>
              <c:ext xmlns:c16="http://schemas.microsoft.com/office/drawing/2014/chart" uri="{C3380CC4-5D6E-409C-BE32-E72D297353CC}">
                <c16:uniqueId val="{00000003-64B2-4E23-8BB4-60ABFFBEE42A}"/>
              </c:ext>
            </c:extLst>
          </c:dPt>
          <c:cat>
            <c:strRef>
              <c:f>Scenarier!$AA$261:$AA$262</c:f>
              <c:strCache>
                <c:ptCount val="2"/>
                <c:pt idx="0">
                  <c:v>Scenarie 1</c:v>
                </c:pt>
                <c:pt idx="1">
                  <c:v>Scenarie 2</c:v>
                </c:pt>
              </c:strCache>
            </c:strRef>
          </c:cat>
          <c:val>
            <c:numRef>
              <c:f>Scenarier!$AB$261:$AB$262</c:f>
              <c:numCache>
                <c:formatCode>General</c:formatCode>
                <c:ptCount val="2"/>
                <c:pt idx="0">
                  <c:v>0.76477499999999987</c:v>
                </c:pt>
                <c:pt idx="1">
                  <c:v>0.24470999999999998</c:v>
                </c:pt>
              </c:numCache>
            </c:numRef>
          </c:val>
          <c:extLst>
            <c:ext xmlns:c16="http://schemas.microsoft.com/office/drawing/2014/chart" uri="{C3380CC4-5D6E-409C-BE32-E72D297353CC}">
              <c16:uniqueId val="{00000004-64B2-4E23-8BB4-60ABFFBEE42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400" b="0" i="0" u="none" strike="noStrike" kern="1200" spc="0" baseline="0">
                <a:solidFill>
                  <a:sysClr val="windowText" lastClr="000000">
                    <a:lumMod val="65000"/>
                    <a:lumOff val="35000"/>
                  </a:sysClr>
                </a:solidFill>
              </a:rPr>
              <a:t>CO</a:t>
            </a:r>
            <a:r>
              <a:rPr lang="da-DK" sz="1400" b="0" i="0" u="none" strike="noStrike" kern="1200" spc="0" baseline="-25000">
                <a:solidFill>
                  <a:sysClr val="windowText" lastClr="000000">
                    <a:lumMod val="65000"/>
                    <a:lumOff val="35000"/>
                  </a:sysClr>
                </a:solidFill>
              </a:rPr>
              <a:t>2</a:t>
            </a:r>
            <a:r>
              <a:rPr lang="da-DK" sz="1400" b="0" i="0" u="none" strike="noStrike" kern="1200" spc="0" baseline="0">
                <a:solidFill>
                  <a:sysClr val="windowText" lastClr="000000">
                    <a:lumMod val="65000"/>
                    <a:lumOff val="35000"/>
                  </a:sysClr>
                </a:solidFill>
              </a:rPr>
              <a:t> udledning for bygningen</a:t>
            </a:r>
            <a:br>
              <a:rPr lang="da-DK" sz="1400" b="0" i="0" u="none" strike="noStrike" kern="1200" spc="0" baseline="0">
                <a:solidFill>
                  <a:sysClr val="windowText" lastClr="000000">
                    <a:lumMod val="65000"/>
                    <a:lumOff val="35000"/>
                  </a:sysClr>
                </a:solidFill>
              </a:rPr>
            </a:br>
            <a:r>
              <a:rPr lang="da-DK" sz="1400" b="0" i="0" u="none" strike="noStrike" kern="1200" spc="0" baseline="0">
                <a:solidFill>
                  <a:sysClr val="windowText" lastClr="000000">
                    <a:lumMod val="65000"/>
                    <a:lumOff val="35000"/>
                  </a:sysClr>
                </a:solidFill>
              </a:rPr>
              <a:t>[</a:t>
            </a:r>
            <a:r>
              <a:rPr lang="da-DK" sz="1400" b="0" i="0" u="none" strike="noStrike" kern="1200" spc="0" baseline="0">
                <a:solidFill>
                  <a:sysClr val="windowText" lastClr="000000">
                    <a:lumMod val="65000"/>
                    <a:lumOff val="35000"/>
                  </a:sysClr>
                </a:solidFill>
                <a:effectLst/>
              </a:rPr>
              <a:t>kg CO</a:t>
            </a:r>
            <a:r>
              <a:rPr lang="da-DK" sz="1400" b="0" i="0" u="none" strike="noStrike" kern="1200" spc="0" baseline="-25000">
                <a:solidFill>
                  <a:sysClr val="windowText" lastClr="000000">
                    <a:lumMod val="65000"/>
                    <a:lumOff val="35000"/>
                  </a:sysClr>
                </a:solidFill>
                <a:effectLst/>
              </a:rPr>
              <a:t>2</a:t>
            </a:r>
            <a:r>
              <a:rPr lang="da-DK" sz="1400" b="0" i="0" u="none" strike="noStrike" kern="1200" spc="0" baseline="0">
                <a:solidFill>
                  <a:sysClr val="windowText" lastClr="000000">
                    <a:lumMod val="65000"/>
                    <a:lumOff val="35000"/>
                  </a:sysClr>
                </a:solidFill>
                <a:effectLst/>
              </a:rPr>
              <a:t> pr. m</a:t>
            </a:r>
            <a:r>
              <a:rPr lang="da-DK" sz="1400" b="0" i="0" u="none" strike="noStrike" kern="1200" spc="0" baseline="30000">
                <a:solidFill>
                  <a:sysClr val="windowText" lastClr="000000">
                    <a:lumMod val="65000"/>
                    <a:lumOff val="35000"/>
                  </a:sysClr>
                </a:solidFill>
                <a:effectLst/>
              </a:rPr>
              <a:t>2</a:t>
            </a:r>
            <a:r>
              <a:rPr lang="da-DK" sz="1400" b="0" i="0" u="none" strike="noStrike" kern="1200" spc="0" baseline="0">
                <a:solidFill>
                  <a:sysClr val="windowText" lastClr="000000">
                    <a:lumMod val="65000"/>
                    <a:lumOff val="35000"/>
                  </a:sysClr>
                </a:solidFill>
                <a:effectLst/>
              </a:rPr>
              <a:t> pr. år]</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5.7385495575322062E-2"/>
          <c:y val="0.18006505611818205"/>
          <c:w val="0.92637406123379473"/>
          <c:h val="0.71981575437049494"/>
        </c:manualLayout>
      </c:layout>
      <c:barChart>
        <c:barDir val="col"/>
        <c:grouping val="stacked"/>
        <c:varyColors val="0"/>
        <c:ser>
          <c:idx val="0"/>
          <c:order val="0"/>
          <c:tx>
            <c:strRef>
              <c:f>Scenarier!$BV$47</c:f>
              <c:strCache>
                <c:ptCount val="1"/>
                <c:pt idx="0">
                  <c:v>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5-EB93-4E1B-A06A-5F7A9AA69988}"/>
              </c:ext>
            </c:extLst>
          </c:dPt>
          <c:dPt>
            <c:idx val="1"/>
            <c:invertIfNegative val="0"/>
            <c:bubble3D val="0"/>
            <c:spPr>
              <a:solidFill>
                <a:srgbClr val="A7D6EF"/>
              </a:solidFill>
              <a:ln>
                <a:noFill/>
              </a:ln>
              <a:effectLst/>
            </c:spPr>
            <c:extLst>
              <c:ext xmlns:c16="http://schemas.microsoft.com/office/drawing/2014/chart" uri="{C3380CC4-5D6E-409C-BE32-E72D297353CC}">
                <c16:uniqueId val="{00000004-EB93-4E1B-A06A-5F7A9AA69988}"/>
              </c:ext>
            </c:extLst>
          </c:dPt>
          <c:dPt>
            <c:idx val="2"/>
            <c:invertIfNegative val="0"/>
            <c:bubble3D val="0"/>
            <c:spPr>
              <a:solidFill>
                <a:schemeClr val="tx2"/>
              </a:solidFill>
              <a:ln>
                <a:noFill/>
              </a:ln>
              <a:effectLst/>
            </c:spPr>
            <c:extLst>
              <c:ext xmlns:c16="http://schemas.microsoft.com/office/drawing/2014/chart" uri="{C3380CC4-5D6E-409C-BE32-E72D297353CC}">
                <c16:uniqueId val="{00000003-EB93-4E1B-A06A-5F7A9AA69988}"/>
              </c:ext>
            </c:extLst>
          </c:dPt>
          <c:dPt>
            <c:idx val="3"/>
            <c:invertIfNegative val="0"/>
            <c:bubble3D val="0"/>
            <c:spPr>
              <a:solidFill>
                <a:schemeClr val="tx2"/>
              </a:solidFill>
              <a:ln>
                <a:noFill/>
              </a:ln>
              <a:effectLst/>
            </c:spPr>
            <c:extLst>
              <c:ext xmlns:c16="http://schemas.microsoft.com/office/drawing/2014/chart" uri="{C3380CC4-5D6E-409C-BE32-E72D297353CC}">
                <c16:uniqueId val="{00000002-EB93-4E1B-A06A-5F7A9AA6998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5-EB93-4E1B-A06A-5F7A9AA6998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4-EB93-4E1B-A06A-5F7A9AA69988}"/>
                </c:ext>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3-EB93-4E1B-A06A-5F7A9AA69988}"/>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2-EB93-4E1B-A06A-5F7A9AA699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Scenarier!$BU$48:$BU$51</c:f>
              <c:strCache>
                <c:ptCount val="4"/>
                <c:pt idx="0">
                  <c:v>Scenarie 1</c:v>
                </c:pt>
                <c:pt idx="1">
                  <c:v>Scenarie 2</c:v>
                </c:pt>
                <c:pt idx="2">
                  <c:v>Bygningsreglementets krav</c:v>
                </c:pt>
                <c:pt idx="3">
                  <c:v>Lavemissionsklasse</c:v>
                </c:pt>
              </c:strCache>
            </c:strRef>
          </c:cat>
          <c:val>
            <c:numRef>
              <c:f>Scenarier!$BV$48:$BV$51</c:f>
              <c:numCache>
                <c:formatCode>0.0</c:formatCode>
                <c:ptCount val="4"/>
                <c:pt idx="0">
                  <c:v>9.1985574010679816</c:v>
                </c:pt>
                <c:pt idx="1">
                  <c:v>4.1898447768632128</c:v>
                </c:pt>
                <c:pt idx="2" formatCode="General">
                  <c:v>12</c:v>
                </c:pt>
                <c:pt idx="3" formatCode="General">
                  <c:v>8</c:v>
                </c:pt>
              </c:numCache>
            </c:numRef>
          </c:val>
          <c:extLst>
            <c:ext xmlns:c16="http://schemas.microsoft.com/office/drawing/2014/chart" uri="{C3380CC4-5D6E-409C-BE32-E72D297353CC}">
              <c16:uniqueId val="{00000000-EB93-4E1B-A06A-5F7A9AA69988}"/>
            </c:ext>
          </c:extLst>
        </c:ser>
        <c:ser>
          <c:idx val="1"/>
          <c:order val="1"/>
          <c:tx>
            <c:strRef>
              <c:f>Scenarier!$BW$47</c:f>
              <c:strCache>
                <c:ptCount val="1"/>
                <c:pt idx="0">
                  <c:v>Energiforbrug</c:v>
                </c:pt>
              </c:strCache>
            </c:strRef>
          </c:tx>
          <c:spPr>
            <a:solidFill>
              <a:schemeClr val="accent1"/>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7-EB93-4E1B-A06A-5F7A9AA69988}"/>
                </c:ext>
              </c:extLst>
            </c:dLbl>
            <c:dLbl>
              <c:idx val="3"/>
              <c:delete val="1"/>
              <c:extLst>
                <c:ext xmlns:c15="http://schemas.microsoft.com/office/drawing/2012/chart" uri="{CE6537A1-D6FC-4f65-9D91-7224C49458BB}"/>
                <c:ext xmlns:c16="http://schemas.microsoft.com/office/drawing/2014/chart" uri="{C3380CC4-5D6E-409C-BE32-E72D297353CC}">
                  <c16:uniqueId val="{00000008-EB93-4E1B-A06A-5F7A9AA6998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Scenarier!$BU$48:$BU$51</c:f>
              <c:strCache>
                <c:ptCount val="4"/>
                <c:pt idx="0">
                  <c:v>Scenarie 1</c:v>
                </c:pt>
                <c:pt idx="1">
                  <c:v>Scenarie 2</c:v>
                </c:pt>
                <c:pt idx="2">
                  <c:v>Bygningsreglementets krav</c:v>
                </c:pt>
                <c:pt idx="3">
                  <c:v>Lavemissionsklasse</c:v>
                </c:pt>
              </c:strCache>
            </c:strRef>
          </c:cat>
          <c:val>
            <c:numRef>
              <c:f>Scenarier!$BW$48:$BW$51</c:f>
              <c:numCache>
                <c:formatCode>0.0</c:formatCode>
                <c:ptCount val="4"/>
                <c:pt idx="0">
                  <c:v>3.1437454115421004</c:v>
                </c:pt>
                <c:pt idx="1">
                  <c:v>3.1437454115421004</c:v>
                </c:pt>
                <c:pt idx="2" formatCode="General">
                  <c:v>0</c:v>
                </c:pt>
                <c:pt idx="3" formatCode="General">
                  <c:v>0</c:v>
                </c:pt>
              </c:numCache>
            </c:numRef>
          </c:val>
          <c:extLst>
            <c:ext xmlns:c16="http://schemas.microsoft.com/office/drawing/2014/chart" uri="{C3380CC4-5D6E-409C-BE32-E72D297353CC}">
              <c16:uniqueId val="{00000001-EB93-4E1B-A06A-5F7A9AA69988}"/>
            </c:ext>
          </c:extLst>
        </c:ser>
        <c:dLbls>
          <c:dLblPos val="ctr"/>
          <c:showLegendKey val="0"/>
          <c:showVal val="1"/>
          <c:showCatName val="0"/>
          <c:showSerName val="0"/>
          <c:showPercent val="0"/>
          <c:showBubbleSize val="0"/>
        </c:dLbls>
        <c:gapWidth val="200"/>
        <c:overlap val="100"/>
        <c:axId val="1113708063"/>
        <c:axId val="670763087"/>
      </c:barChart>
      <c:catAx>
        <c:axId val="1113708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70763087"/>
        <c:crosses val="autoZero"/>
        <c:auto val="1"/>
        <c:lblAlgn val="ctr"/>
        <c:lblOffset val="100"/>
        <c:noMultiLvlLbl val="0"/>
      </c:catAx>
      <c:valAx>
        <c:axId val="6707630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crossAx val="1113708063"/>
        <c:crosses val="autoZero"/>
        <c:crossBetween val="between"/>
      </c:valAx>
      <c:spPr>
        <a:noFill/>
        <a:ln>
          <a:noFill/>
        </a:ln>
        <a:effectLst/>
      </c:spPr>
    </c:plotArea>
    <c:legend>
      <c:legendPos val="tr"/>
      <c:legendEntry>
        <c:idx val="1"/>
        <c:delete val="1"/>
      </c:legendEntry>
      <c:layout>
        <c:manualLayout>
          <c:xMode val="edge"/>
          <c:yMode val="edge"/>
          <c:x val="0.86421307056859764"/>
          <c:y val="6.7188617006448945E-2"/>
          <c:w val="0.11228503632615447"/>
          <c:h val="5.9295167213445625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100" b="0" i="0" u="none" strike="noStrike" kern="1200" spc="0" baseline="0">
                <a:solidFill>
                  <a:sysClr val="windowText" lastClr="000000">
                    <a:lumMod val="65000"/>
                    <a:lumOff val="35000"/>
                  </a:sysClr>
                </a:solidFill>
              </a:rPr>
              <a:t>Solcellernes udledning </a:t>
            </a:r>
          </a:p>
          <a:p>
            <a:pPr>
              <a:defRPr/>
            </a:pPr>
            <a:r>
              <a:rPr lang="da-DK" sz="1100" b="0" i="0" u="none" strike="noStrike" kern="1200" spc="0" baseline="0">
                <a:solidFill>
                  <a:sysClr val="windowText" lastClr="000000">
                    <a:lumMod val="65000"/>
                    <a:lumOff val="35000"/>
                  </a:sysClr>
                </a:solidFill>
              </a:rPr>
              <a:t>[kg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046E-479D-B6CE-7F163CAD3CBD}"/>
              </c:ext>
            </c:extLst>
          </c:dPt>
          <c:dPt>
            <c:idx val="1"/>
            <c:invertIfNegative val="0"/>
            <c:bubble3D val="0"/>
            <c:spPr>
              <a:solidFill>
                <a:srgbClr val="A7D6EF"/>
              </a:solidFill>
              <a:ln>
                <a:noFill/>
              </a:ln>
              <a:effectLst/>
            </c:spPr>
            <c:extLst>
              <c:ext xmlns:c16="http://schemas.microsoft.com/office/drawing/2014/chart" uri="{C3380CC4-5D6E-409C-BE32-E72D297353CC}">
                <c16:uniqueId val="{00000002-046E-479D-B6CE-7F163CAD3CBD}"/>
              </c:ext>
            </c:extLst>
          </c:dPt>
          <c:cat>
            <c:strRef>
              <c:f>Scenarier!$AA$509:$AA$510</c:f>
              <c:strCache>
                <c:ptCount val="2"/>
                <c:pt idx="0">
                  <c:v>Scenarie 1</c:v>
                </c:pt>
                <c:pt idx="1">
                  <c:v>Scenarie 2</c:v>
                </c:pt>
              </c:strCache>
            </c:strRef>
          </c:cat>
          <c:val>
            <c:numRef>
              <c:f>Scenarier!$AB$509:$AB$510</c:f>
              <c:numCache>
                <c:formatCode>General</c:formatCode>
                <c:ptCount val="2"/>
                <c:pt idx="0">
                  <c:v>0</c:v>
                </c:pt>
                <c:pt idx="1">
                  <c:v>0</c:v>
                </c:pt>
              </c:numCache>
            </c:numRef>
          </c:val>
          <c:extLst>
            <c:ext xmlns:c16="http://schemas.microsoft.com/office/drawing/2014/chart" uri="{C3380CC4-5D6E-409C-BE32-E72D297353CC}">
              <c16:uniqueId val="{00000000-046E-479D-B6CE-7F163CAD3CBD}"/>
            </c:ext>
          </c:extLst>
        </c:ser>
        <c:dLbls>
          <c:showLegendKey val="0"/>
          <c:showVal val="0"/>
          <c:showCatName val="0"/>
          <c:showSerName val="0"/>
          <c:showPercent val="0"/>
          <c:showBubbleSize val="0"/>
        </c:dLbls>
        <c:gapWidth val="219"/>
        <c:overlap val="-27"/>
        <c:axId val="1668077904"/>
        <c:axId val="1668098544"/>
      </c:barChart>
      <c:catAx>
        <c:axId val="1668077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668098544"/>
        <c:crosses val="autoZero"/>
        <c:auto val="1"/>
        <c:lblAlgn val="ctr"/>
        <c:lblOffset val="100"/>
        <c:noMultiLvlLbl val="0"/>
      </c:catAx>
      <c:valAx>
        <c:axId val="1668098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668077904"/>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400" b="1" i="0" u="none" strike="noStrike" baseline="0">
                <a:effectLst/>
              </a:rPr>
              <a:t>Udvendig beklædning</a:t>
            </a:r>
            <a:r>
              <a:rPr lang="da-DK" sz="1400" b="0" i="0" u="none" strike="noStrike" baseline="0"/>
              <a:t> </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data'!$W$9:$W$24</c:f>
              <c:strCache>
                <c:ptCount val="16"/>
                <c:pt idx="0">
                  <c:v>Tegl</c:v>
                </c:pt>
                <c:pt idx="1">
                  <c:v>Tegl genbrugte</c:v>
                </c:pt>
                <c:pt idx="2">
                  <c:v>Betonelement</c:v>
                </c:pt>
                <c:pt idx="3">
                  <c:v>Fibercement</c:v>
                </c:pt>
                <c:pt idx="4">
                  <c:v>Zink</c:v>
                </c:pt>
                <c:pt idx="5">
                  <c:v>Aluminium</c:v>
                </c:pt>
                <c:pt idx="6">
                  <c:v>Træ </c:v>
                </c:pt>
                <c:pt idx="7">
                  <c:v>Skærmtegl </c:v>
                </c:pt>
                <c:pt idx="8">
                  <c:v>Skifer</c:v>
                </c:pt>
                <c:pt idx="9">
                  <c:v>Plast/trækompocit</c:v>
                </c:pt>
                <c:pt idx="10">
                  <c:v>Natursten</c:v>
                </c:pt>
                <c:pt idx="11">
                  <c:v>Kalksandsten</c:v>
                </c:pt>
                <c:pt idx="12">
                  <c:v>Genbrugs beklædning</c:v>
                </c:pt>
                <c:pt idx="13">
                  <c:v>Brugerdefineret_1</c:v>
                </c:pt>
                <c:pt idx="14">
                  <c:v>Brugerdefineret_2</c:v>
                </c:pt>
                <c:pt idx="15">
                  <c:v>Brugerdefineret_3</c:v>
                </c:pt>
              </c:strCache>
            </c:strRef>
          </c:cat>
          <c:val>
            <c:numRef>
              <c:f>'LCA data'!$AC$9:$AC$24</c:f>
              <c:numCache>
                <c:formatCode>0.00</c:formatCode>
                <c:ptCount val="16"/>
                <c:pt idx="0">
                  <c:v>58.632902350000002</c:v>
                </c:pt>
                <c:pt idx="1">
                  <c:v>22.318064549999995</c:v>
                </c:pt>
                <c:pt idx="2">
                  <c:v>23.910081643000002</c:v>
                </c:pt>
                <c:pt idx="3">
                  <c:v>7.188072</c:v>
                </c:pt>
                <c:pt idx="4">
                  <c:v>12.038399999999999</c:v>
                </c:pt>
                <c:pt idx="5">
                  <c:v>34.471279539000001</c:v>
                </c:pt>
                <c:pt idx="6">
                  <c:v>6.5094200700000009</c:v>
                </c:pt>
                <c:pt idx="7">
                  <c:v>17.978955555555551</c:v>
                </c:pt>
                <c:pt idx="8">
                  <c:v>15.240374000000001</c:v>
                </c:pt>
                <c:pt idx="9">
                  <c:v>8.2236700000000003</c:v>
                </c:pt>
                <c:pt idx="10">
                  <c:v>32.930311000000003</c:v>
                </c:pt>
                <c:pt idx="11">
                  <c:v>54.682419150000001</c:v>
                </c:pt>
                <c:pt idx="13">
                  <c:v>0</c:v>
                </c:pt>
                <c:pt idx="14">
                  <c:v>0</c:v>
                </c:pt>
                <c:pt idx="15">
                  <c:v>0</c:v>
                </c:pt>
              </c:numCache>
            </c:numRef>
          </c:val>
          <c:extLst>
            <c:ext xmlns:c16="http://schemas.microsoft.com/office/drawing/2014/chart" uri="{C3380CC4-5D6E-409C-BE32-E72D297353CC}">
              <c16:uniqueId val="{00000000-AE52-493E-A7CB-6D4B7D5C8541}"/>
            </c:ext>
          </c:extLst>
        </c:ser>
        <c:dLbls>
          <c:showLegendKey val="0"/>
          <c:showVal val="0"/>
          <c:showCatName val="0"/>
          <c:showSerName val="0"/>
          <c:showPercent val="0"/>
          <c:showBubbleSize val="0"/>
        </c:dLbls>
        <c:gapWidth val="219"/>
        <c:overlap val="-27"/>
        <c:axId val="152814207"/>
        <c:axId val="584381951"/>
      </c:barChart>
      <c:catAx>
        <c:axId val="152814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a-DK"/>
          </a:p>
        </c:txPr>
        <c:crossAx val="584381951"/>
        <c:crosses val="autoZero"/>
        <c:auto val="1"/>
        <c:lblAlgn val="ctr"/>
        <c:lblOffset val="100"/>
        <c:noMultiLvlLbl val="0"/>
      </c:catAx>
      <c:valAx>
        <c:axId val="58438195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2814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Scenarier!$AB$85</c:f>
              <c:strCache>
                <c:ptCount val="1"/>
                <c:pt idx="0">
                  <c:v>CO2 materialer</c:v>
                </c:pt>
              </c:strCache>
            </c:strRef>
          </c:tx>
          <c:spPr>
            <a:solidFill>
              <a:schemeClr val="accent1"/>
            </a:solidFill>
            <a:ln>
              <a:noFill/>
            </a:ln>
            <a:effectLst/>
          </c:spPr>
          <c:invertIfNegative val="0"/>
          <c:cat>
            <c:strRef>
              <c:f>Scenarier!$AA$86:$AA$87</c:f>
              <c:strCache>
                <c:ptCount val="2"/>
                <c:pt idx="0">
                  <c:v>Scenarie 1</c:v>
                </c:pt>
                <c:pt idx="1">
                  <c:v>Scenarie 2</c:v>
                </c:pt>
              </c:strCache>
            </c:strRef>
          </c:cat>
          <c:val>
            <c:numRef>
              <c:f>Scenarier!$AB$86:$AB$87</c:f>
              <c:numCache>
                <c:formatCode>General</c:formatCode>
                <c:ptCount val="2"/>
                <c:pt idx="0">
                  <c:v>0</c:v>
                </c:pt>
                <c:pt idx="1">
                  <c:v>0</c:v>
                </c:pt>
              </c:numCache>
            </c:numRef>
          </c:val>
          <c:extLst>
            <c:ext xmlns:c16="http://schemas.microsoft.com/office/drawing/2014/chart" uri="{C3380CC4-5D6E-409C-BE32-E72D297353CC}">
              <c16:uniqueId val="{00000000-15FE-46D0-87A0-715DB26D1150}"/>
            </c:ext>
          </c:extLst>
        </c:ser>
        <c:ser>
          <c:idx val="1"/>
          <c:order val="1"/>
          <c:tx>
            <c:strRef>
              <c:f>Scenarier!$AC$85</c:f>
              <c:strCache>
                <c:ptCount val="1"/>
                <c:pt idx="0">
                  <c:v>CO2 varmetab</c:v>
                </c:pt>
              </c:strCache>
            </c:strRef>
          </c:tx>
          <c:spPr>
            <a:solidFill>
              <a:schemeClr val="accent2"/>
            </a:solidFill>
            <a:ln>
              <a:noFill/>
            </a:ln>
            <a:effectLst/>
          </c:spPr>
          <c:invertIfNegative val="0"/>
          <c:cat>
            <c:strRef>
              <c:f>Scenarier!$AA$86:$AA$87</c:f>
              <c:strCache>
                <c:ptCount val="2"/>
                <c:pt idx="0">
                  <c:v>Scenarie 1</c:v>
                </c:pt>
                <c:pt idx="1">
                  <c:v>Scenarie 2</c:v>
                </c:pt>
              </c:strCache>
            </c:strRef>
          </c:cat>
          <c:val>
            <c:numRef>
              <c:f>Scenarier!$AC$86:$AC$87</c:f>
              <c:numCache>
                <c:formatCode>General</c:formatCode>
                <c:ptCount val="2"/>
                <c:pt idx="0">
                  <c:v>0</c:v>
                </c:pt>
                <c:pt idx="1">
                  <c:v>0</c:v>
                </c:pt>
              </c:numCache>
            </c:numRef>
          </c:val>
          <c:extLst>
            <c:ext xmlns:c16="http://schemas.microsoft.com/office/drawing/2014/chart" uri="{C3380CC4-5D6E-409C-BE32-E72D297353CC}">
              <c16:uniqueId val="{00000001-15FE-46D0-87A0-715DB26D1150}"/>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Isoleringsmaterialer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data'!$W$34:$W$51</c:f>
              <c:strCache>
                <c:ptCount val="18"/>
                <c:pt idx="0">
                  <c:v>Mineraluld</c:v>
                </c:pt>
                <c:pt idx="1">
                  <c:v>Træfiberisoleringsplader</c:v>
                </c:pt>
                <c:pt idx="2">
                  <c:v>Papiruld</c:v>
                </c:pt>
                <c:pt idx="3">
                  <c:v>Celleglas</c:v>
                </c:pt>
                <c:pt idx="4">
                  <c:v>EPS</c:v>
                </c:pt>
                <c:pt idx="5">
                  <c:v>Kork, expanderet</c:v>
                </c:pt>
                <c:pt idx="6">
                  <c:v>Halm</c:v>
                </c:pt>
                <c:pt idx="7">
                  <c:v>Græs isolering</c:v>
                </c:pt>
                <c:pt idx="8">
                  <c:v>Papiruld 35 kg/m3 til loft Produktspecifik</c:v>
                </c:pt>
                <c:pt idx="9">
                  <c:v>Papiruld 65 kg/m3 til væg Produktspecifik</c:v>
                </c:pt>
                <c:pt idx="10">
                  <c:v>Træfiberisolering, batts Produktspecifik</c:v>
                </c:pt>
                <c:pt idx="11">
                  <c:v>Træfiberisolering, løsuld Produktspecifik</c:v>
                </c:pt>
                <c:pt idx="12">
                  <c:v>Stenuld Produktspecifik</c:v>
                </c:pt>
                <c:pt idx="13">
                  <c:v>Glasuld Produktspecifik</c:v>
                </c:pt>
                <c:pt idx="14">
                  <c:v>Genbrugs isolering</c:v>
                </c:pt>
                <c:pt idx="15">
                  <c:v>Brugerdefineret_1</c:v>
                </c:pt>
                <c:pt idx="16">
                  <c:v>Brugerdefineret_2</c:v>
                </c:pt>
                <c:pt idx="17">
                  <c:v>Brugerdefineret_3</c:v>
                </c:pt>
              </c:strCache>
            </c:strRef>
          </c:cat>
          <c:val>
            <c:numRef>
              <c:f>'LCA data'!$X$34:$X$51</c:f>
              <c:numCache>
                <c:formatCode>0.0000</c:formatCode>
                <c:ptCount val="18"/>
                <c:pt idx="0">
                  <c:v>4.1420999999999999E-2</c:v>
                </c:pt>
                <c:pt idx="1">
                  <c:v>8.1899999999999973E-2</c:v>
                </c:pt>
                <c:pt idx="2">
                  <c:v>2.5709300000000004E-2</c:v>
                </c:pt>
                <c:pt idx="3">
                  <c:v>0.15336876099999999</c:v>
                </c:pt>
                <c:pt idx="4">
                  <c:v>0.1613</c:v>
                </c:pt>
                <c:pt idx="5">
                  <c:v>5.4604300000000008E-2</c:v>
                </c:pt>
                <c:pt idx="6">
                  <c:v>7.0000000000000045E-3</c:v>
                </c:pt>
                <c:pt idx="7">
                  <c:v>4.1139999999999996E-2</c:v>
                </c:pt>
                <c:pt idx="8" formatCode="0.00">
                  <c:v>7.7000000000000046E-3</c:v>
                </c:pt>
                <c:pt idx="9" formatCode="0.00">
                  <c:v>1.4299999999999997E-2</c:v>
                </c:pt>
                <c:pt idx="10" formatCode="0.00">
                  <c:v>1.4999999999999999E-2</c:v>
                </c:pt>
                <c:pt idx="11" formatCode="0.00">
                  <c:v>5.8000000000000005E-3</c:v>
                </c:pt>
                <c:pt idx="12" formatCode="0.00">
                  <c:v>2.5380000000000003E-2</c:v>
                </c:pt>
                <c:pt idx="13" formatCode="0.00">
                  <c:v>3.1847619047619048E-2</c:v>
                </c:pt>
                <c:pt idx="14" formatCode="0.00">
                  <c:v>0</c:v>
                </c:pt>
                <c:pt idx="15" formatCode="0.00">
                  <c:v>0</c:v>
                </c:pt>
                <c:pt idx="16" formatCode="0.00">
                  <c:v>0</c:v>
                </c:pt>
                <c:pt idx="17" formatCode="0.00">
                  <c:v>0</c:v>
                </c:pt>
              </c:numCache>
            </c:numRef>
          </c:val>
          <c:extLst>
            <c:ext xmlns:c16="http://schemas.microsoft.com/office/drawing/2014/chart" uri="{C3380CC4-5D6E-409C-BE32-E72D297353CC}">
              <c16:uniqueId val="{00000000-6D0E-46CC-833F-6ACAA0B12428}"/>
            </c:ext>
          </c:extLst>
        </c:ser>
        <c:dLbls>
          <c:showLegendKey val="0"/>
          <c:showVal val="0"/>
          <c:showCatName val="0"/>
          <c:showSerName val="0"/>
          <c:showPercent val="0"/>
          <c:showBubbleSize val="0"/>
        </c:dLbls>
        <c:gapWidth val="219"/>
        <c:overlap val="-27"/>
        <c:axId val="2059151072"/>
        <c:axId val="617747536"/>
      </c:barChart>
      <c:catAx>
        <c:axId val="205915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7747536"/>
        <c:crosses val="autoZero"/>
        <c:auto val="1"/>
        <c:lblAlgn val="ctr"/>
        <c:lblOffset val="100"/>
        <c:noMultiLvlLbl val="0"/>
      </c:catAx>
      <c:valAx>
        <c:axId val="617747536"/>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9151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Indvendig konstruktion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data'!$W$53:$W$64</c:f>
              <c:strCache>
                <c:ptCount val="12"/>
                <c:pt idx="0">
                  <c:v>Betonelement C30/37</c:v>
                </c:pt>
                <c:pt idx="1">
                  <c:v>Stålskelet</c:v>
                </c:pt>
                <c:pt idx="2">
                  <c:v>Træskelet</c:v>
                </c:pt>
                <c:pt idx="3">
                  <c:v>CLT</c:v>
                </c:pt>
                <c:pt idx="4">
                  <c:v>Tegl</c:v>
                </c:pt>
                <c:pt idx="5">
                  <c:v>Porebeton</c:v>
                </c:pt>
                <c:pt idx="6">
                  <c:v>Tegl genbrugte</c:v>
                </c:pt>
                <c:pt idx="7">
                  <c:v>Teglblokke</c:v>
                </c:pt>
                <c:pt idx="8">
                  <c:v>Genbrugs konstruktion</c:v>
                </c:pt>
                <c:pt idx="9">
                  <c:v>Brugerdefineret_1</c:v>
                </c:pt>
                <c:pt idx="10">
                  <c:v>Brugerdefineret_2</c:v>
                </c:pt>
                <c:pt idx="11">
                  <c:v>Brugerdefineret_3</c:v>
                </c:pt>
              </c:strCache>
            </c:strRef>
          </c:cat>
          <c:val>
            <c:numRef>
              <c:f>'LCA data'!$X$53:$X$64</c:f>
              <c:numCache>
                <c:formatCode>0.00</c:formatCode>
                <c:ptCount val="12"/>
                <c:pt idx="0">
                  <c:v>0.33473222420000004</c:v>
                </c:pt>
                <c:pt idx="1">
                  <c:v>2.9654507442105262E-2</c:v>
                </c:pt>
                <c:pt idx="2">
                  <c:v>1.0206674773684208E-2</c:v>
                </c:pt>
                <c:pt idx="3">
                  <c:v>0.08</c:v>
                </c:pt>
                <c:pt idx="4">
                  <c:v>0.72849609583333319</c:v>
                </c:pt>
                <c:pt idx="5">
                  <c:v>0.21778157936</c:v>
                </c:pt>
                <c:pt idx="6">
                  <c:v>5.0354390399999997E-2</c:v>
                </c:pt>
                <c:pt idx="7">
                  <c:v>0.25298589029565222</c:v>
                </c:pt>
                <c:pt idx="8">
                  <c:v>0</c:v>
                </c:pt>
                <c:pt idx="9">
                  <c:v>0</c:v>
                </c:pt>
                <c:pt idx="10">
                  <c:v>0</c:v>
                </c:pt>
                <c:pt idx="11">
                  <c:v>0</c:v>
                </c:pt>
              </c:numCache>
            </c:numRef>
          </c:val>
          <c:extLst>
            <c:ext xmlns:c16="http://schemas.microsoft.com/office/drawing/2014/chart" uri="{C3380CC4-5D6E-409C-BE32-E72D297353CC}">
              <c16:uniqueId val="{00000000-3A06-4321-A7D3-63C5EE9D6AFB}"/>
            </c:ext>
          </c:extLst>
        </c:ser>
        <c:dLbls>
          <c:showLegendKey val="0"/>
          <c:showVal val="0"/>
          <c:showCatName val="0"/>
          <c:showSerName val="0"/>
          <c:showPercent val="0"/>
          <c:showBubbleSize val="0"/>
        </c:dLbls>
        <c:gapWidth val="219"/>
        <c:overlap val="-27"/>
        <c:axId val="981912240"/>
        <c:axId val="2101191280"/>
      </c:barChart>
      <c:catAx>
        <c:axId val="98191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101191280"/>
        <c:crosses val="autoZero"/>
        <c:auto val="1"/>
        <c:lblAlgn val="ctr"/>
        <c:lblOffset val="100"/>
        <c:noMultiLvlLbl val="0"/>
      </c:catAx>
      <c:valAx>
        <c:axId val="2101191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191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Indvendig beklædning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data'!$W$67:$W$76</c:f>
              <c:strCache>
                <c:ptCount val="10"/>
                <c:pt idx="0">
                  <c:v>Gips</c:v>
                </c:pt>
                <c:pt idx="1">
                  <c:v>Fibergips</c:v>
                </c:pt>
                <c:pt idx="2">
                  <c:v>Krydsfiner</c:v>
                </c:pt>
                <c:pt idx="3">
                  <c:v>Trælameller</c:v>
                </c:pt>
                <c:pt idx="4">
                  <c:v>Krydsfiner og gipsplader</c:v>
                </c:pt>
                <c:pt idx="5">
                  <c:v>ler-/hampplade</c:v>
                </c:pt>
                <c:pt idx="6">
                  <c:v>Genbrugs beklædning</c:v>
                </c:pt>
                <c:pt idx="7">
                  <c:v>Brugerdefineret_1</c:v>
                </c:pt>
                <c:pt idx="8">
                  <c:v>Brugerdefineret_2</c:v>
                </c:pt>
                <c:pt idx="9">
                  <c:v>Brugerdefineret_3</c:v>
                </c:pt>
              </c:strCache>
            </c:strRef>
          </c:cat>
          <c:val>
            <c:numRef>
              <c:f>'LCA data'!$AC$67:$AC$76</c:f>
              <c:numCache>
                <c:formatCode>0.00</c:formatCode>
                <c:ptCount val="10"/>
                <c:pt idx="0">
                  <c:v>1.7730999999999999</c:v>
                </c:pt>
                <c:pt idx="1">
                  <c:v>6.6720999999999995</c:v>
                </c:pt>
                <c:pt idx="2">
                  <c:v>1.7309192520000007</c:v>
                </c:pt>
                <c:pt idx="3">
                  <c:v>9.2479800000000001</c:v>
                </c:pt>
                <c:pt idx="4">
                  <c:v>9.0259999999999998</c:v>
                </c:pt>
                <c:pt idx="5">
                  <c:v>0.35432034000000001</c:v>
                </c:pt>
                <c:pt idx="7">
                  <c:v>0</c:v>
                </c:pt>
                <c:pt idx="8">
                  <c:v>0</c:v>
                </c:pt>
                <c:pt idx="9">
                  <c:v>0</c:v>
                </c:pt>
              </c:numCache>
            </c:numRef>
          </c:val>
          <c:extLst>
            <c:ext xmlns:c16="http://schemas.microsoft.com/office/drawing/2014/chart" uri="{C3380CC4-5D6E-409C-BE32-E72D297353CC}">
              <c16:uniqueId val="{00000000-0B11-45DC-A07B-839ED839E801}"/>
            </c:ext>
          </c:extLst>
        </c:ser>
        <c:dLbls>
          <c:showLegendKey val="0"/>
          <c:showVal val="0"/>
          <c:showCatName val="0"/>
          <c:showSerName val="0"/>
          <c:showPercent val="0"/>
          <c:showBubbleSize val="0"/>
        </c:dLbls>
        <c:gapWidth val="219"/>
        <c:overlap val="-27"/>
        <c:axId val="674077808"/>
        <c:axId val="1862456896"/>
      </c:barChart>
      <c:catAx>
        <c:axId val="67407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1862456896"/>
        <c:crosses val="autoZero"/>
        <c:auto val="1"/>
        <c:lblAlgn val="ctr"/>
        <c:lblOffset val="100"/>
        <c:noMultiLvlLbl val="0"/>
      </c:catAx>
      <c:valAx>
        <c:axId val="18624568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077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Tagbelægning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data'!$B$79:$B$92</c:f>
              <c:strCache>
                <c:ptCount val="14"/>
                <c:pt idx="0">
                  <c:v>Tagbelægning_Tagpap</c:v>
                </c:pt>
                <c:pt idx="1">
                  <c:v>Tagbelægning_Teglsten</c:v>
                </c:pt>
                <c:pt idx="2">
                  <c:v>Tagbelægning_Fibercement</c:v>
                </c:pt>
                <c:pt idx="3">
                  <c:v>Tagbelægning_Ståltag</c:v>
                </c:pt>
                <c:pt idx="4">
                  <c:v>Tagbelægning_Skifer</c:v>
                </c:pt>
                <c:pt idx="5">
                  <c:v>Tagbelægning_Sedum</c:v>
                </c:pt>
                <c:pt idx="6">
                  <c:v>Tagbelægning_Stråtag</c:v>
                </c:pt>
                <c:pt idx="7">
                  <c:v>Tagbelægning_EPDM folie</c:v>
                </c:pt>
                <c:pt idx="8">
                  <c:v>Tagbelægning_Betontagsten</c:v>
                </c:pt>
                <c:pt idx="9">
                  <c:v>Tagbelægning_Zink</c:v>
                </c:pt>
                <c:pt idx="10">
                  <c:v>Tagbelægning_Genbrugs tagbelægning</c:v>
                </c:pt>
                <c:pt idx="11">
                  <c:v>Tagbelægning_Brugerdefineret_1</c:v>
                </c:pt>
                <c:pt idx="12">
                  <c:v>Tagbelægning_Brugerdefineret_2</c:v>
                </c:pt>
                <c:pt idx="13">
                  <c:v>Tagbelægning_Brugerdefineret_3</c:v>
                </c:pt>
              </c:strCache>
            </c:strRef>
          </c:cat>
          <c:val>
            <c:numRef>
              <c:f>'LCA data'!$AC$79:$AC$92</c:f>
              <c:numCache>
                <c:formatCode>General</c:formatCode>
                <c:ptCount val="14"/>
                <c:pt idx="0">
                  <c:v>31.366317000000006</c:v>
                </c:pt>
                <c:pt idx="1">
                  <c:v>16.596564553846154</c:v>
                </c:pt>
                <c:pt idx="2">
                  <c:v>23.595431079476924</c:v>
                </c:pt>
                <c:pt idx="3">
                  <c:v>29.488260918125878</c:v>
                </c:pt>
                <c:pt idx="4">
                  <c:v>15.703546710500001</c:v>
                </c:pt>
                <c:pt idx="5">
                  <c:v>55.130188386666603</c:v>
                </c:pt>
                <c:pt idx="6">
                  <c:v>13.249496960000002</c:v>
                </c:pt>
                <c:pt idx="7">
                  <c:v>143.77661999999998</c:v>
                </c:pt>
                <c:pt idx="8">
                  <c:v>10.7438766</c:v>
                </c:pt>
                <c:pt idx="9">
                  <c:v>13.593470400000001</c:v>
                </c:pt>
                <c:pt idx="11">
                  <c:v>0</c:v>
                </c:pt>
                <c:pt idx="12">
                  <c:v>0</c:v>
                </c:pt>
                <c:pt idx="13">
                  <c:v>0</c:v>
                </c:pt>
              </c:numCache>
            </c:numRef>
          </c:val>
          <c:extLst>
            <c:ext xmlns:c16="http://schemas.microsoft.com/office/drawing/2014/chart" uri="{C3380CC4-5D6E-409C-BE32-E72D297353CC}">
              <c16:uniqueId val="{00000000-6300-4787-BA4B-57FAE167181B}"/>
            </c:ext>
          </c:extLst>
        </c:ser>
        <c:dLbls>
          <c:showLegendKey val="0"/>
          <c:showVal val="0"/>
          <c:showCatName val="0"/>
          <c:showSerName val="0"/>
          <c:showPercent val="0"/>
          <c:showBubbleSize val="0"/>
        </c:dLbls>
        <c:gapWidth val="219"/>
        <c:overlap val="-27"/>
        <c:axId val="2059156640"/>
        <c:axId val="1862454496"/>
      </c:barChart>
      <c:catAx>
        <c:axId val="205915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 b="0" i="0" u="none" strike="noStrike" kern="1200" baseline="0">
                <a:solidFill>
                  <a:schemeClr val="tx1">
                    <a:lumMod val="65000"/>
                    <a:lumOff val="35000"/>
                  </a:schemeClr>
                </a:solidFill>
                <a:latin typeface="+mn-lt"/>
                <a:ea typeface="+mn-ea"/>
                <a:cs typeface="+mn-cs"/>
              </a:defRPr>
            </a:pPr>
            <a:endParaRPr lang="da-DK"/>
          </a:p>
        </c:txPr>
        <c:crossAx val="1862454496"/>
        <c:crosses val="autoZero"/>
        <c:auto val="1"/>
        <c:lblAlgn val="ctr"/>
        <c:lblOffset val="100"/>
        <c:noMultiLvlLbl val="0"/>
      </c:catAx>
      <c:valAx>
        <c:axId val="1862454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915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Tagkonstruktion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data'!$W$95:$W$104</c:f>
              <c:strCache>
                <c:ptCount val="10"/>
                <c:pt idx="0">
                  <c:v>Gitterspær</c:v>
                </c:pt>
                <c:pt idx="1">
                  <c:v>Bjælkespær</c:v>
                </c:pt>
                <c:pt idx="2">
                  <c:v>Hanebåndsspær</c:v>
                </c:pt>
                <c:pt idx="3">
                  <c:v>Betonhuldæk</c:v>
                </c:pt>
                <c:pt idx="4">
                  <c:v>CLT</c:v>
                </c:pt>
                <c:pt idx="5">
                  <c:v>Stålspær</c:v>
                </c:pt>
                <c:pt idx="6">
                  <c:v>Genbrugs konstruktion</c:v>
                </c:pt>
                <c:pt idx="7">
                  <c:v>Brugerdefineret_1</c:v>
                </c:pt>
                <c:pt idx="8">
                  <c:v>Brugerdefineret_2</c:v>
                </c:pt>
                <c:pt idx="9">
                  <c:v>Brugerdefineret_3</c:v>
                </c:pt>
              </c:strCache>
            </c:strRef>
          </c:cat>
          <c:val>
            <c:numRef>
              <c:f>'LCA data'!$AC$95:$AC$104</c:f>
              <c:numCache>
                <c:formatCode>0.00</c:formatCode>
                <c:ptCount val="10"/>
                <c:pt idx="0">
                  <c:v>1.2799999999999976</c:v>
                </c:pt>
                <c:pt idx="1">
                  <c:v>1.1700000000000017</c:v>
                </c:pt>
                <c:pt idx="2">
                  <c:v>1.3000000000000007</c:v>
                </c:pt>
                <c:pt idx="3">
                  <c:v>64.260410903999997</c:v>
                </c:pt>
                <c:pt idx="4">
                  <c:v>1.9399999999999977</c:v>
                </c:pt>
                <c:pt idx="5">
                  <c:v>6.9650920000000003</c:v>
                </c:pt>
                <c:pt idx="7">
                  <c:v>0</c:v>
                </c:pt>
                <c:pt idx="8">
                  <c:v>0</c:v>
                </c:pt>
                <c:pt idx="9">
                  <c:v>0</c:v>
                </c:pt>
              </c:numCache>
            </c:numRef>
          </c:val>
          <c:extLst>
            <c:ext xmlns:c16="http://schemas.microsoft.com/office/drawing/2014/chart" uri="{C3380CC4-5D6E-409C-BE32-E72D297353CC}">
              <c16:uniqueId val="{00000000-325D-4DDC-A6B9-FA6F924B75F9}"/>
            </c:ext>
          </c:extLst>
        </c:ser>
        <c:dLbls>
          <c:showLegendKey val="0"/>
          <c:showVal val="0"/>
          <c:showCatName val="0"/>
          <c:showSerName val="0"/>
          <c:showPercent val="0"/>
          <c:showBubbleSize val="0"/>
        </c:dLbls>
        <c:gapWidth val="219"/>
        <c:overlap val="-27"/>
        <c:axId val="515859216"/>
        <c:axId val="617746576"/>
      </c:barChart>
      <c:catAx>
        <c:axId val="51585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7746576"/>
        <c:crosses val="autoZero"/>
        <c:auto val="1"/>
        <c:lblAlgn val="ctr"/>
        <c:lblOffset val="100"/>
        <c:noMultiLvlLbl val="0"/>
      </c:catAx>
      <c:valAx>
        <c:axId val="6177465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15859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Loftsbeklædning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data'!$W$107:$W$118</c:f>
              <c:strCache>
                <c:ptCount val="12"/>
                <c:pt idx="0">
                  <c:v>Træbetonplader</c:v>
                </c:pt>
                <c:pt idx="1">
                  <c:v>Bræddeloft</c:v>
                </c:pt>
                <c:pt idx="2">
                  <c:v>Nedhængt akustik systemloft</c:v>
                </c:pt>
                <c:pt idx="3">
                  <c:v>Perforeret krydsfiner</c:v>
                </c:pt>
                <c:pt idx="4">
                  <c:v>Gips på trælægter</c:v>
                </c:pt>
                <c:pt idx="5">
                  <c:v>Gips på stålprofiler</c:v>
                </c:pt>
                <c:pt idx="6">
                  <c:v>Akrylmaling på puds</c:v>
                </c:pt>
                <c:pt idx="7">
                  <c:v>Trælameller</c:v>
                </c:pt>
                <c:pt idx="8">
                  <c:v>Genbrugs loftbeklædning</c:v>
                </c:pt>
                <c:pt idx="9">
                  <c:v>Brugerdefineret_1</c:v>
                </c:pt>
                <c:pt idx="10">
                  <c:v>Brugerdefineret_2</c:v>
                </c:pt>
                <c:pt idx="11">
                  <c:v>Brugerdefineret_3</c:v>
                </c:pt>
              </c:strCache>
            </c:strRef>
          </c:cat>
          <c:val>
            <c:numRef>
              <c:f>'LCA data'!$AC$107:$AC$118</c:f>
              <c:numCache>
                <c:formatCode>General</c:formatCode>
                <c:ptCount val="12"/>
                <c:pt idx="0">
                  <c:v>7.2018000000000004</c:v>
                </c:pt>
                <c:pt idx="1">
                  <c:v>3.5200000000000031</c:v>
                </c:pt>
                <c:pt idx="2">
                  <c:v>21.972180000000002</c:v>
                </c:pt>
                <c:pt idx="3">
                  <c:v>4.4800682070000004</c:v>
                </c:pt>
                <c:pt idx="4">
                  <c:v>11.79</c:v>
                </c:pt>
                <c:pt idx="5">
                  <c:v>17.95</c:v>
                </c:pt>
                <c:pt idx="6">
                  <c:v>5.8000000000000007</c:v>
                </c:pt>
                <c:pt idx="7">
                  <c:v>9.2479800000000001</c:v>
                </c:pt>
                <c:pt idx="9">
                  <c:v>0</c:v>
                </c:pt>
                <c:pt idx="10">
                  <c:v>0</c:v>
                </c:pt>
                <c:pt idx="11">
                  <c:v>0</c:v>
                </c:pt>
              </c:numCache>
            </c:numRef>
          </c:val>
          <c:extLst>
            <c:ext xmlns:c16="http://schemas.microsoft.com/office/drawing/2014/chart" uri="{C3380CC4-5D6E-409C-BE32-E72D297353CC}">
              <c16:uniqueId val="{00000000-2507-4F65-BCB7-59BFEAAEC9AC}"/>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Terrændæk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data'!$W$121:$W$128</c:f>
              <c:strCache>
                <c:ptCount val="8"/>
                <c:pt idx="0">
                  <c:v>Beton C25/30</c:v>
                </c:pt>
                <c:pt idx="1">
                  <c:v>Gulvspånplade</c:v>
                </c:pt>
                <c:pt idx="2">
                  <c:v>Stålkassette</c:v>
                </c:pt>
                <c:pt idx="3">
                  <c:v>Trækassette</c:v>
                </c:pt>
                <c:pt idx="4">
                  <c:v>Genbrugs terrændæk</c:v>
                </c:pt>
                <c:pt idx="5">
                  <c:v>Brugerdefineret_1</c:v>
                </c:pt>
                <c:pt idx="6">
                  <c:v>Brugerdefineret_2</c:v>
                </c:pt>
                <c:pt idx="7">
                  <c:v>Brugerdefineret_3</c:v>
                </c:pt>
              </c:strCache>
            </c:strRef>
          </c:cat>
          <c:val>
            <c:numRef>
              <c:f>'LCA data'!$AC$121:$AC$128</c:f>
              <c:numCache>
                <c:formatCode>0.00</c:formatCode>
                <c:ptCount val="8"/>
                <c:pt idx="0">
                  <c:v>43.035278025000004</c:v>
                </c:pt>
                <c:pt idx="1">
                  <c:v>8.687306103500001</c:v>
                </c:pt>
                <c:pt idx="2">
                  <c:v>54.838294582857102</c:v>
                </c:pt>
                <c:pt idx="3">
                  <c:v>27.6056601428572</c:v>
                </c:pt>
                <c:pt idx="5">
                  <c:v>0</c:v>
                </c:pt>
                <c:pt idx="6">
                  <c:v>0</c:v>
                </c:pt>
                <c:pt idx="7">
                  <c:v>0</c:v>
                </c:pt>
              </c:numCache>
            </c:numRef>
          </c:val>
          <c:extLst>
            <c:ext xmlns:c16="http://schemas.microsoft.com/office/drawing/2014/chart" uri="{C3380CC4-5D6E-409C-BE32-E72D297353CC}">
              <c16:uniqueId val="{00000000-CD1E-4FF5-92B0-55E77742D71A}"/>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Etagedæk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data'!$W$140:$W$148</c:f>
              <c:strCache>
                <c:ptCount val="9"/>
                <c:pt idx="0">
                  <c:v>CLT</c:v>
                </c:pt>
                <c:pt idx="1">
                  <c:v>Stål</c:v>
                </c:pt>
                <c:pt idx="2">
                  <c:v>Letbeton</c:v>
                </c:pt>
                <c:pt idx="3">
                  <c:v>Betonelement C45/55</c:v>
                </c:pt>
                <c:pt idx="4">
                  <c:v>Træ bjælker</c:v>
                </c:pt>
                <c:pt idx="5">
                  <c:v>Genbrugs dæk</c:v>
                </c:pt>
                <c:pt idx="6">
                  <c:v>Brugerdefineret_1</c:v>
                </c:pt>
                <c:pt idx="7">
                  <c:v>Brugerdefineret_2</c:v>
                </c:pt>
                <c:pt idx="8">
                  <c:v>Brugerdefineret_3</c:v>
                </c:pt>
              </c:strCache>
            </c:strRef>
          </c:cat>
          <c:val>
            <c:numRef>
              <c:f>'LCA data'!$AC$140:$AC$148</c:f>
              <c:numCache>
                <c:formatCode>0.00</c:formatCode>
                <c:ptCount val="9"/>
                <c:pt idx="0">
                  <c:v>16</c:v>
                </c:pt>
                <c:pt idx="1">
                  <c:v>29.872668543499998</c:v>
                </c:pt>
                <c:pt idx="2">
                  <c:v>77.690226977894795</c:v>
                </c:pt>
                <c:pt idx="3">
                  <c:v>68.03974306929743</c:v>
                </c:pt>
                <c:pt idx="4">
                  <c:v>4.9920341035000044</c:v>
                </c:pt>
                <c:pt idx="6">
                  <c:v>0</c:v>
                </c:pt>
                <c:pt idx="7">
                  <c:v>0</c:v>
                </c:pt>
                <c:pt idx="8">
                  <c:v>0</c:v>
                </c:pt>
              </c:numCache>
            </c:numRef>
          </c:val>
          <c:extLst>
            <c:ext xmlns:c16="http://schemas.microsoft.com/office/drawing/2014/chart" uri="{C3380CC4-5D6E-409C-BE32-E72D297353CC}">
              <c16:uniqueId val="{00000000-1AC0-4660-8F2C-0A7947EC9371}"/>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Gulvoverflade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data'!$W$151:$W$166</c:f>
              <c:strCache>
                <c:ptCount val="16"/>
                <c:pt idx="0">
                  <c:v>Linoleum</c:v>
                </c:pt>
                <c:pt idx="1">
                  <c:v>Gulvklinker</c:v>
                </c:pt>
                <c:pt idx="2">
                  <c:v>Svømmende parket</c:v>
                </c:pt>
                <c:pt idx="3">
                  <c:v>Trægulv på strøer </c:v>
                </c:pt>
                <c:pt idx="4">
                  <c:v>Beton</c:v>
                </c:pt>
                <c:pt idx="5">
                  <c:v>Vinyl</c:v>
                </c:pt>
                <c:pt idx="6">
                  <c:v>Gummi</c:v>
                </c:pt>
                <c:pt idx="7">
                  <c:v>Laminat</c:v>
                </c:pt>
                <c:pt idx="8">
                  <c:v>Naturstensfliser</c:v>
                </c:pt>
                <c:pt idx="9">
                  <c:v>Vådrumsgulv, fliser</c:v>
                </c:pt>
                <c:pt idx="10">
                  <c:v>Genbrugs gulv på beton</c:v>
                </c:pt>
                <c:pt idx="11">
                  <c:v>Genbrugs gulv på strøer </c:v>
                </c:pt>
                <c:pt idx="12">
                  <c:v>Genbrugs belægning og undergulv</c:v>
                </c:pt>
                <c:pt idx="13">
                  <c:v>Brugerdefineret_1</c:v>
                </c:pt>
                <c:pt idx="14">
                  <c:v>Brugerdefineret_2</c:v>
                </c:pt>
                <c:pt idx="15">
                  <c:v>Brugerdefineret_3</c:v>
                </c:pt>
              </c:strCache>
            </c:strRef>
          </c:cat>
          <c:val>
            <c:numRef>
              <c:f>'LCA data'!$AC$151:$AC$166</c:f>
              <c:numCache>
                <c:formatCode>0.00</c:formatCode>
                <c:ptCount val="16"/>
                <c:pt idx="0">
                  <c:v>21.201103745000001</c:v>
                </c:pt>
                <c:pt idx="1">
                  <c:v>26.858803269999999</c:v>
                </c:pt>
                <c:pt idx="2">
                  <c:v>27.182773500000003</c:v>
                </c:pt>
                <c:pt idx="3">
                  <c:v>6.4936239049999998</c:v>
                </c:pt>
                <c:pt idx="4">
                  <c:v>24.17118</c:v>
                </c:pt>
                <c:pt idx="5">
                  <c:v>35.418044000000002</c:v>
                </c:pt>
                <c:pt idx="6">
                  <c:v>46.155824000000003</c:v>
                </c:pt>
                <c:pt idx="7">
                  <c:v>27.633824000000001</c:v>
                </c:pt>
                <c:pt idx="8">
                  <c:v>51.906606869999997</c:v>
                </c:pt>
                <c:pt idx="9">
                  <c:v>32.959354869999999</c:v>
                </c:pt>
                <c:pt idx="10">
                  <c:v>24.17118</c:v>
                </c:pt>
                <c:pt idx="11">
                  <c:v>6.4936239049999998</c:v>
                </c:pt>
                <c:pt idx="12">
                  <c:v>0</c:v>
                </c:pt>
                <c:pt idx="13">
                  <c:v>0</c:v>
                </c:pt>
                <c:pt idx="14">
                  <c:v>0</c:v>
                </c:pt>
                <c:pt idx="15">
                  <c:v>0</c:v>
                </c:pt>
              </c:numCache>
            </c:numRef>
          </c:val>
          <c:extLst>
            <c:ext xmlns:c16="http://schemas.microsoft.com/office/drawing/2014/chart" uri="{C3380CC4-5D6E-409C-BE32-E72D297353CC}">
              <c16:uniqueId val="{00000000-0DDA-4EAB-B9B9-F95ACBB98D7D}"/>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Vinduer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data'!$W$169:$W$175</c:f>
              <c:strCache>
                <c:ptCount val="7"/>
                <c:pt idx="0">
                  <c:v>2 lags energirude med kold kant</c:v>
                </c:pt>
                <c:pt idx="1">
                  <c:v>2 lags energirude med varm kant</c:v>
                </c:pt>
                <c:pt idx="2">
                  <c:v>3 lags energirude</c:v>
                </c:pt>
                <c:pt idx="3">
                  <c:v>Genbrugs vinduer</c:v>
                </c:pt>
                <c:pt idx="4">
                  <c:v>Brugerdefineret_1</c:v>
                </c:pt>
                <c:pt idx="5">
                  <c:v>Brugerdefineret_2</c:v>
                </c:pt>
                <c:pt idx="6">
                  <c:v>Brugerdefineret_3</c:v>
                </c:pt>
              </c:strCache>
            </c:strRef>
          </c:cat>
          <c:val>
            <c:numRef>
              <c:f>'LCA data'!$X$169:$X$175</c:f>
              <c:numCache>
                <c:formatCode>0.00</c:formatCode>
                <c:ptCount val="7"/>
                <c:pt idx="0">
                  <c:v>77.679799999999986</c:v>
                </c:pt>
                <c:pt idx="1">
                  <c:v>77.679799999999986</c:v>
                </c:pt>
                <c:pt idx="2">
                  <c:v>122.5522</c:v>
                </c:pt>
                <c:pt idx="3">
                  <c:v>0</c:v>
                </c:pt>
                <c:pt idx="4">
                  <c:v>0</c:v>
                </c:pt>
                <c:pt idx="5">
                  <c:v>0</c:v>
                </c:pt>
                <c:pt idx="6">
                  <c:v>0</c:v>
                </c:pt>
              </c:numCache>
            </c:numRef>
          </c:val>
          <c:extLst>
            <c:ext xmlns:c16="http://schemas.microsoft.com/office/drawing/2014/chart" uri="{C3380CC4-5D6E-409C-BE32-E72D297353CC}">
              <c16:uniqueId val="{00000000-1CE0-4320-AA26-EFD7B36F4DE5}"/>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37932.597864930933</c:v>
                      </c:pt>
                    </c:numCache>
                  </c:numRef>
                </c:val>
                <c:extLst>
                  <c:ext xmlns:c16="http://schemas.microsoft.com/office/drawing/2014/chart" uri="{C3380CC4-5D6E-409C-BE32-E72D297353CC}">
                    <c16:uniqueId val="{00000000-D654-4C96-AFF5-49C3C120FAE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5.3154307118311577</c:v>
                      </c:pt>
                    </c:numCache>
                  </c:numRef>
                </c:val>
                <c:extLst xmlns:c15="http://schemas.microsoft.com/office/drawing/2012/chart">
                  <c:ext xmlns:c16="http://schemas.microsoft.com/office/drawing/2014/chart" uri="{C3380CC4-5D6E-409C-BE32-E72D297353CC}">
                    <c16:uniqueId val="{00000001-D654-4C96-AFF5-49C3C120FAE9}"/>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Karm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data'!$W$178:$W$181</c:f>
              <c:strCache>
                <c:ptCount val="4"/>
                <c:pt idx="0">
                  <c:v>Træ/alu</c:v>
                </c:pt>
                <c:pt idx="1">
                  <c:v>Træ</c:v>
                </c:pt>
                <c:pt idx="2">
                  <c:v>Aluminium</c:v>
                </c:pt>
                <c:pt idx="3">
                  <c:v>Plastik</c:v>
                </c:pt>
              </c:strCache>
            </c:strRef>
          </c:cat>
          <c:val>
            <c:numRef>
              <c:f>'LCA data'!$X$178:$X$181</c:f>
              <c:numCache>
                <c:formatCode>0.00</c:formatCode>
                <c:ptCount val="4"/>
                <c:pt idx="0">
                  <c:v>64.42</c:v>
                </c:pt>
                <c:pt idx="1">
                  <c:v>35.599999999999994</c:v>
                </c:pt>
                <c:pt idx="2">
                  <c:v>140.35</c:v>
                </c:pt>
                <c:pt idx="3">
                  <c:v>88.08</c:v>
                </c:pt>
              </c:numCache>
            </c:numRef>
          </c:val>
          <c:extLst>
            <c:ext xmlns:c16="http://schemas.microsoft.com/office/drawing/2014/chart" uri="{C3380CC4-5D6E-409C-BE32-E72D297353CC}">
              <c16:uniqueId val="{00000000-489E-49B2-83C5-A2C6FD63AD6C}"/>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Skillevæg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data'!$W$202:$W$214</c:f>
              <c:strCache>
                <c:ptCount val="13"/>
                <c:pt idx="0">
                  <c:v>Porebeton</c:v>
                </c:pt>
                <c:pt idx="1">
                  <c:v>Teglblokke</c:v>
                </c:pt>
                <c:pt idx="2">
                  <c:v>Teglsten</c:v>
                </c:pt>
                <c:pt idx="3">
                  <c:v>Teglsten genbrugt</c:v>
                </c:pt>
                <c:pt idx="4">
                  <c:v>Glasvæg</c:v>
                </c:pt>
                <c:pt idx="5">
                  <c:v>CLT</c:v>
                </c:pt>
                <c:pt idx="6">
                  <c:v>Stålskelet</c:v>
                </c:pt>
                <c:pt idx="7">
                  <c:v>Træskelet</c:v>
                </c:pt>
                <c:pt idx="8">
                  <c:v>Betonelement C30/37</c:v>
                </c:pt>
                <c:pt idx="9">
                  <c:v>Genbrugs konstruktion</c:v>
                </c:pt>
                <c:pt idx="10">
                  <c:v>Brugerdefineret_1</c:v>
                </c:pt>
                <c:pt idx="11">
                  <c:v>Brugerdefineret_2</c:v>
                </c:pt>
                <c:pt idx="12">
                  <c:v>Brugerdefineret_3</c:v>
                </c:pt>
              </c:strCache>
            </c:strRef>
          </c:cat>
          <c:val>
            <c:numRef>
              <c:f>'LCA data'!$AC$202:$AC$214</c:f>
              <c:numCache>
                <c:formatCode>0.00</c:formatCode>
                <c:ptCount val="13"/>
                <c:pt idx="0">
                  <c:v>21.778157935999999</c:v>
                </c:pt>
                <c:pt idx="1">
                  <c:v>29.093377384000004</c:v>
                </c:pt>
                <c:pt idx="2">
                  <c:v>78.67757834999999</c:v>
                </c:pt>
                <c:pt idx="3">
                  <c:v>5.4382741632</c:v>
                </c:pt>
                <c:pt idx="4">
                  <c:v>39.235952605777804</c:v>
                </c:pt>
                <c:pt idx="5">
                  <c:v>24.417362030000014</c:v>
                </c:pt>
                <c:pt idx="6">
                  <c:v>2.817178207</c:v>
                </c:pt>
                <c:pt idx="7">
                  <c:v>0.96963410349999979</c:v>
                </c:pt>
                <c:pt idx="8">
                  <c:v>40.167866904000007</c:v>
                </c:pt>
                <c:pt idx="9">
                  <c:v>0</c:v>
                </c:pt>
                <c:pt idx="10">
                  <c:v>0</c:v>
                </c:pt>
                <c:pt idx="11">
                  <c:v>0</c:v>
                </c:pt>
                <c:pt idx="12">
                  <c:v>0</c:v>
                </c:pt>
              </c:numCache>
            </c:numRef>
          </c:val>
          <c:extLst>
            <c:ext xmlns:c16="http://schemas.microsoft.com/office/drawing/2014/chart" uri="{C3380CC4-5D6E-409C-BE32-E72D297353CC}">
              <c16:uniqueId val="{00000000-B0BA-475D-9120-0FF21181750C}"/>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Fundament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data'!$W$263:$W$265</c:f>
              <c:strCache>
                <c:ptCount val="3"/>
                <c:pt idx="0">
                  <c:v>Linjefundament</c:v>
                </c:pt>
                <c:pt idx="1">
                  <c:v>Punktfundament</c:v>
                </c:pt>
                <c:pt idx="2">
                  <c:v>Skruefundament</c:v>
                </c:pt>
              </c:strCache>
            </c:strRef>
          </c:cat>
          <c:val>
            <c:numRef>
              <c:f>'LCA data'!$AC$263:$AC$265</c:f>
              <c:numCache>
                <c:formatCode>0.00</c:formatCode>
                <c:ptCount val="3"/>
                <c:pt idx="0">
                  <c:v>169.95</c:v>
                </c:pt>
                <c:pt idx="1">
                  <c:v>81.069999999999993</c:v>
                </c:pt>
                <c:pt idx="2">
                  <c:v>54.379999999999995</c:v>
                </c:pt>
              </c:numCache>
            </c:numRef>
          </c:val>
          <c:extLst>
            <c:ext xmlns:c16="http://schemas.microsoft.com/office/drawing/2014/chart" uri="{C3380CC4-5D6E-409C-BE32-E72D297353CC}">
              <c16:uniqueId val="{00000000-58D6-4561-A818-19837E7E4449}"/>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Antagelser!$D$363</c:f>
              <c:strCache>
                <c:ptCount val="1"/>
                <c:pt idx="0">
                  <c:v>grænseværdi kWh</c:v>
                </c:pt>
              </c:strCache>
            </c:strRef>
          </c:tx>
          <c:spPr>
            <a:ln w="19050" cap="rnd">
              <a:noFill/>
              <a:round/>
            </a:ln>
            <a:effectLst/>
          </c:spPr>
          <c:marker>
            <c:symbol val="circle"/>
            <c:size val="5"/>
            <c:spPr>
              <a:solidFill>
                <a:schemeClr val="accent1"/>
              </a:solidFill>
              <a:ln w="9525">
                <a:solidFill>
                  <a:schemeClr val="accent1"/>
                </a:solidFill>
              </a:ln>
              <a:effectLst/>
            </c:spPr>
          </c:marker>
          <c:xVal>
            <c:strRef>
              <c:f>Antagelser!$B$364:$B$372</c:f>
              <c:strCache>
                <c:ptCount val="3"/>
                <c:pt idx="0">
                  <c:v>Lavenergiklasse</c:v>
                </c:pt>
                <c:pt idx="1">
                  <c:v>Bygningsklasse 2018</c:v>
                </c:pt>
                <c:pt idx="2">
                  <c:v>Bygningsklasse 2018 benyttet</c:v>
                </c:pt>
              </c:strCache>
            </c:strRef>
          </c:xVal>
          <c:yVal>
            <c:numRef>
              <c:f>Antagelser!$D$364:$D$372</c:f>
              <c:numCache>
                <c:formatCode>_-* #,##0_-;\-* #,##0_-;_-* "-"??_-;_-@_-</c:formatCode>
                <c:ptCount val="9"/>
                <c:pt idx="0">
                  <c:v>13200</c:v>
                </c:pt>
                <c:pt idx="1">
                  <c:v>17400</c:v>
                </c:pt>
              </c:numCache>
            </c:numRef>
          </c:yVal>
          <c:smooth val="0"/>
          <c:extLst>
            <c:ext xmlns:c16="http://schemas.microsoft.com/office/drawing/2014/chart" uri="{C3380CC4-5D6E-409C-BE32-E72D297353CC}">
              <c16:uniqueId val="{00000000-0BFF-4830-B1F2-DC7117429C21}"/>
            </c:ext>
          </c:extLst>
        </c:ser>
        <c:ser>
          <c:idx val="1"/>
          <c:order val="1"/>
          <c:tx>
            <c:strRef>
              <c:f>Antagelser!$E$363</c:f>
              <c:strCache>
                <c:ptCount val="1"/>
                <c:pt idx="0">
                  <c:v>Antaget middelværdier kWh</c:v>
                </c:pt>
              </c:strCache>
            </c:strRef>
          </c:tx>
          <c:spPr>
            <a:ln w="25400" cap="rnd">
              <a:noFill/>
              <a:round/>
            </a:ln>
            <a:effectLst/>
          </c:spPr>
          <c:marker>
            <c:symbol val="circle"/>
            <c:size val="5"/>
            <c:spPr>
              <a:solidFill>
                <a:schemeClr val="accent2"/>
              </a:solidFill>
              <a:ln w="9525">
                <a:solidFill>
                  <a:schemeClr val="accent2"/>
                </a:solidFill>
              </a:ln>
              <a:effectLst/>
            </c:spPr>
          </c:marker>
          <c:xVal>
            <c:strRef>
              <c:f>Antagelser!$B$363:$B$372</c:f>
              <c:strCache>
                <c:ptCount val="4"/>
                <c:pt idx="0">
                  <c:v>Energimærke</c:v>
                </c:pt>
                <c:pt idx="1">
                  <c:v>Lavenergiklasse</c:v>
                </c:pt>
                <c:pt idx="2">
                  <c:v>Bygningsklasse 2018</c:v>
                </c:pt>
                <c:pt idx="3">
                  <c:v>Bygningsklasse 2018 benyttet</c:v>
                </c:pt>
              </c:strCache>
            </c:strRef>
          </c:xVal>
          <c:yVal>
            <c:numRef>
              <c:f>Antagelser!$E$364:$E$372</c:f>
              <c:numCache>
                <c:formatCode>_-* #,##0_-;\-* #,##0_-;_-* "-"??_-;_-@_-</c:formatCode>
                <c:ptCount val="9"/>
                <c:pt idx="0">
                  <c:v>13200</c:v>
                </c:pt>
                <c:pt idx="1">
                  <c:v>8700</c:v>
                </c:pt>
              </c:numCache>
            </c:numRef>
          </c:yVal>
          <c:smooth val="0"/>
          <c:extLst>
            <c:ext xmlns:c16="http://schemas.microsoft.com/office/drawing/2014/chart" uri="{C3380CC4-5D6E-409C-BE32-E72D297353CC}">
              <c16:uniqueId val="{00000000-5CC3-488C-BCC3-A95A50594379}"/>
            </c:ext>
          </c:extLst>
        </c:ser>
        <c:dLbls>
          <c:showLegendKey val="0"/>
          <c:showVal val="0"/>
          <c:showCatName val="0"/>
          <c:showSerName val="0"/>
          <c:showPercent val="0"/>
          <c:showBubbleSize val="0"/>
        </c:dLbls>
        <c:axId val="2055336463"/>
        <c:axId val="2055346447"/>
      </c:scatterChart>
      <c:valAx>
        <c:axId val="2055336463"/>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5346447"/>
        <c:crosses val="autoZero"/>
        <c:crossBetween val="midCat"/>
      </c:valAx>
      <c:valAx>
        <c:axId val="205534644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533646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142482906267725"/>
          <c:y val="6.86150322372458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3D89-4DD0-BBA4-A2F4BFE33726}"/>
              </c:ext>
            </c:extLst>
          </c:dPt>
          <c:dPt>
            <c:idx val="1"/>
            <c:invertIfNegative val="0"/>
            <c:bubble3D val="0"/>
            <c:spPr>
              <a:solidFill>
                <a:srgbClr val="A7D6EF"/>
              </a:solidFill>
              <a:ln>
                <a:noFill/>
              </a:ln>
              <a:effectLst/>
            </c:spPr>
            <c:extLst>
              <c:ext xmlns:c16="http://schemas.microsoft.com/office/drawing/2014/chart" uri="{C3380CC4-5D6E-409C-BE32-E72D297353CC}">
                <c16:uniqueId val="{00000003-3D89-4DD0-BBA4-A2F4BFE33726}"/>
              </c:ext>
            </c:extLst>
          </c:dPt>
          <c:cat>
            <c:strRef>
              <c:f>Scenarier!$AA$142:$AA$143</c:f>
              <c:strCache>
                <c:ptCount val="2"/>
                <c:pt idx="0">
                  <c:v>Scenarie 1</c:v>
                </c:pt>
                <c:pt idx="1">
                  <c:v>Scenarie 2</c:v>
                </c:pt>
              </c:strCache>
            </c:strRef>
          </c:cat>
          <c:val>
            <c:numRef>
              <c:f>Scenarier!$AB$142:$AB$143</c:f>
              <c:numCache>
                <c:formatCode>General</c:formatCode>
                <c:ptCount val="2"/>
                <c:pt idx="0">
                  <c:v>1.0322537545784616</c:v>
                </c:pt>
                <c:pt idx="1">
                  <c:v>0.28639657637966121</c:v>
                </c:pt>
              </c:numCache>
            </c:numRef>
          </c:val>
          <c:extLst>
            <c:ext xmlns:c16="http://schemas.microsoft.com/office/drawing/2014/chart" uri="{C3380CC4-5D6E-409C-BE32-E72D297353CC}">
              <c16:uniqueId val="{00000004-3D89-4DD0-BBA4-A2F4BFE33726}"/>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1">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1">
  <a:schemeClr val="accent1"/>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Reversed" id="21">
  <a:schemeClr val="accent1"/>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Reversed" id="21">
  <a:schemeClr val="accent1"/>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chart" Target="../charts/chart27.xml"/><Relationship Id="rId21" Type="http://schemas.openxmlformats.org/officeDocument/2006/relationships/chart" Target="../charts/chart22.xml"/><Relationship Id="rId42" Type="http://schemas.openxmlformats.org/officeDocument/2006/relationships/chart" Target="../charts/chart43.xml"/><Relationship Id="rId47" Type="http://schemas.openxmlformats.org/officeDocument/2006/relationships/chart" Target="../charts/chart48.xml"/><Relationship Id="rId63" Type="http://schemas.openxmlformats.org/officeDocument/2006/relationships/hyperlink" Target="#Scenarier!D205"/><Relationship Id="rId68" Type="http://schemas.openxmlformats.org/officeDocument/2006/relationships/chart" Target="../charts/chart61.xml"/><Relationship Id="rId84" Type="http://schemas.openxmlformats.org/officeDocument/2006/relationships/hyperlink" Target="https://transition.nu/" TargetMode="External"/><Relationship Id="rId89" Type="http://schemas.openxmlformats.org/officeDocument/2006/relationships/image" Target="../media/image12.svg"/><Relationship Id="rId16" Type="http://schemas.openxmlformats.org/officeDocument/2006/relationships/chart" Target="../charts/chart17.xml"/><Relationship Id="rId11" Type="http://schemas.openxmlformats.org/officeDocument/2006/relationships/chart" Target="../charts/chart12.xml"/><Relationship Id="rId32" Type="http://schemas.openxmlformats.org/officeDocument/2006/relationships/chart" Target="../charts/chart33.xml"/><Relationship Id="rId37" Type="http://schemas.openxmlformats.org/officeDocument/2006/relationships/chart" Target="../charts/chart38.xml"/><Relationship Id="rId53" Type="http://schemas.openxmlformats.org/officeDocument/2006/relationships/chart" Target="../charts/chart54.xml"/><Relationship Id="rId58" Type="http://schemas.openxmlformats.org/officeDocument/2006/relationships/chart" Target="../charts/chart59.xml"/><Relationship Id="rId74" Type="http://schemas.openxmlformats.org/officeDocument/2006/relationships/hyperlink" Target="https://www.kl.dk/klima-og-erhverv/teknik-og-miljoe/baeredygtige-bygninger/byggeri" TargetMode="External"/><Relationship Id="rId79" Type="http://schemas.openxmlformats.org/officeDocument/2006/relationships/image" Target="../media/image5.png"/><Relationship Id="rId5" Type="http://schemas.openxmlformats.org/officeDocument/2006/relationships/chart" Target="../charts/chart6.xml"/><Relationship Id="rId90" Type="http://schemas.openxmlformats.org/officeDocument/2006/relationships/hyperlink" Target="#Scenarier!D519"/><Relationship Id="rId22" Type="http://schemas.openxmlformats.org/officeDocument/2006/relationships/chart" Target="../charts/chart23.xml"/><Relationship Id="rId27" Type="http://schemas.openxmlformats.org/officeDocument/2006/relationships/chart" Target="../charts/chart28.xml"/><Relationship Id="rId43" Type="http://schemas.openxmlformats.org/officeDocument/2006/relationships/chart" Target="../charts/chart44.xml"/><Relationship Id="rId48" Type="http://schemas.openxmlformats.org/officeDocument/2006/relationships/chart" Target="../charts/chart49.xml"/><Relationship Id="rId64" Type="http://schemas.openxmlformats.org/officeDocument/2006/relationships/hyperlink" Target="#Scenarier!D291"/><Relationship Id="rId69" Type="http://schemas.openxmlformats.org/officeDocument/2006/relationships/chart" Target="../charts/chart62.xml"/><Relationship Id="rId8" Type="http://schemas.openxmlformats.org/officeDocument/2006/relationships/chart" Target="../charts/chart9.xml"/><Relationship Id="rId51" Type="http://schemas.openxmlformats.org/officeDocument/2006/relationships/chart" Target="../charts/chart52.xml"/><Relationship Id="rId72" Type="http://schemas.openxmlformats.org/officeDocument/2006/relationships/chart" Target="../charts/chart65.xml"/><Relationship Id="rId80" Type="http://schemas.openxmlformats.org/officeDocument/2006/relationships/image" Target="../media/image6.png"/><Relationship Id="rId85" Type="http://schemas.openxmlformats.org/officeDocument/2006/relationships/image" Target="../media/image9.png"/><Relationship Id="rId93" Type="http://schemas.openxmlformats.org/officeDocument/2006/relationships/chart" Target="../charts/chart68.xml"/><Relationship Id="rId3" Type="http://schemas.openxmlformats.org/officeDocument/2006/relationships/chart" Target="../charts/chart4.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33" Type="http://schemas.openxmlformats.org/officeDocument/2006/relationships/chart" Target="../charts/chart34.xml"/><Relationship Id="rId38" Type="http://schemas.openxmlformats.org/officeDocument/2006/relationships/chart" Target="../charts/chart39.xml"/><Relationship Id="rId46" Type="http://schemas.openxmlformats.org/officeDocument/2006/relationships/chart" Target="../charts/chart47.xml"/><Relationship Id="rId59" Type="http://schemas.openxmlformats.org/officeDocument/2006/relationships/chart" Target="../charts/chart60.xml"/><Relationship Id="rId67" Type="http://schemas.openxmlformats.org/officeDocument/2006/relationships/hyperlink" Target="#Scenarier!C538"/><Relationship Id="rId20" Type="http://schemas.openxmlformats.org/officeDocument/2006/relationships/chart" Target="../charts/chart21.xml"/><Relationship Id="rId41" Type="http://schemas.openxmlformats.org/officeDocument/2006/relationships/chart" Target="../charts/chart42.xml"/><Relationship Id="rId54" Type="http://schemas.openxmlformats.org/officeDocument/2006/relationships/chart" Target="../charts/chart55.xml"/><Relationship Id="rId62" Type="http://schemas.openxmlformats.org/officeDocument/2006/relationships/hyperlink" Target="#Scenarier!D145"/><Relationship Id="rId70" Type="http://schemas.openxmlformats.org/officeDocument/2006/relationships/chart" Target="../charts/chart63.xml"/><Relationship Id="rId75" Type="http://schemas.openxmlformats.org/officeDocument/2006/relationships/image" Target="../media/image3.png"/><Relationship Id="rId83" Type="http://schemas.openxmlformats.org/officeDocument/2006/relationships/chart" Target="../charts/chart67.xml"/><Relationship Id="rId88" Type="http://schemas.openxmlformats.org/officeDocument/2006/relationships/image" Target="../media/image11.png"/><Relationship Id="rId91" Type="http://schemas.openxmlformats.org/officeDocument/2006/relationships/hyperlink" Target="#Scenarier!B21"/><Relationship Id="rId1" Type="http://schemas.openxmlformats.org/officeDocument/2006/relationships/chart" Target="../charts/chart2.xml"/><Relationship Id="rId6" Type="http://schemas.openxmlformats.org/officeDocument/2006/relationships/chart" Target="../charts/chart7.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36" Type="http://schemas.openxmlformats.org/officeDocument/2006/relationships/chart" Target="../charts/chart37.xml"/><Relationship Id="rId49" Type="http://schemas.openxmlformats.org/officeDocument/2006/relationships/chart" Target="../charts/chart50.xml"/><Relationship Id="rId57" Type="http://schemas.openxmlformats.org/officeDocument/2006/relationships/chart" Target="../charts/chart58.xml"/><Relationship Id="rId10" Type="http://schemas.openxmlformats.org/officeDocument/2006/relationships/chart" Target="../charts/chart11.xml"/><Relationship Id="rId31" Type="http://schemas.openxmlformats.org/officeDocument/2006/relationships/chart" Target="../charts/chart32.xml"/><Relationship Id="rId44" Type="http://schemas.openxmlformats.org/officeDocument/2006/relationships/chart" Target="../charts/chart45.xml"/><Relationship Id="rId52" Type="http://schemas.openxmlformats.org/officeDocument/2006/relationships/chart" Target="../charts/chart53.xml"/><Relationship Id="rId60" Type="http://schemas.openxmlformats.org/officeDocument/2006/relationships/hyperlink" Target="#Scenarier!D79"/><Relationship Id="rId65" Type="http://schemas.openxmlformats.org/officeDocument/2006/relationships/hyperlink" Target="#Scenarier!D347"/><Relationship Id="rId73" Type="http://schemas.openxmlformats.org/officeDocument/2006/relationships/chart" Target="../charts/chart66.xml"/><Relationship Id="rId78" Type="http://schemas.openxmlformats.org/officeDocument/2006/relationships/hyperlink" Target="#Scenarier!D266"/><Relationship Id="rId81" Type="http://schemas.openxmlformats.org/officeDocument/2006/relationships/image" Target="../media/image7.png"/><Relationship Id="rId86" Type="http://schemas.openxmlformats.org/officeDocument/2006/relationships/image" Target="../media/image10.png"/><Relationship Id="rId4" Type="http://schemas.openxmlformats.org/officeDocument/2006/relationships/chart" Target="../charts/chart5.xml"/><Relationship Id="rId9" Type="http://schemas.openxmlformats.org/officeDocument/2006/relationships/chart" Target="../charts/chart10.xml"/><Relationship Id="rId13" Type="http://schemas.openxmlformats.org/officeDocument/2006/relationships/chart" Target="../charts/chart14.xml"/><Relationship Id="rId18" Type="http://schemas.openxmlformats.org/officeDocument/2006/relationships/chart" Target="../charts/chart19.xml"/><Relationship Id="rId39" Type="http://schemas.openxmlformats.org/officeDocument/2006/relationships/chart" Target="../charts/chart40.xml"/><Relationship Id="rId34" Type="http://schemas.openxmlformats.org/officeDocument/2006/relationships/chart" Target="../charts/chart35.xml"/><Relationship Id="rId50" Type="http://schemas.openxmlformats.org/officeDocument/2006/relationships/chart" Target="../charts/chart51.xml"/><Relationship Id="rId55" Type="http://schemas.openxmlformats.org/officeDocument/2006/relationships/chart" Target="../charts/chart56.xml"/><Relationship Id="rId76" Type="http://schemas.openxmlformats.org/officeDocument/2006/relationships/hyperlink" Target="#Scenarier!D469"/><Relationship Id="rId7" Type="http://schemas.openxmlformats.org/officeDocument/2006/relationships/chart" Target="../charts/chart8.xml"/><Relationship Id="rId71" Type="http://schemas.openxmlformats.org/officeDocument/2006/relationships/chart" Target="../charts/chart64.xml"/><Relationship Id="rId92" Type="http://schemas.openxmlformats.org/officeDocument/2006/relationships/hyperlink" Target="#'LCA data'!C259"/><Relationship Id="rId2" Type="http://schemas.openxmlformats.org/officeDocument/2006/relationships/chart" Target="../charts/chart3.xml"/><Relationship Id="rId29" Type="http://schemas.openxmlformats.org/officeDocument/2006/relationships/chart" Target="../charts/chart30.xml"/><Relationship Id="rId24" Type="http://schemas.openxmlformats.org/officeDocument/2006/relationships/chart" Target="../charts/chart25.xml"/><Relationship Id="rId40" Type="http://schemas.openxmlformats.org/officeDocument/2006/relationships/chart" Target="../charts/chart41.xml"/><Relationship Id="rId45" Type="http://schemas.openxmlformats.org/officeDocument/2006/relationships/chart" Target="../charts/chart46.xml"/><Relationship Id="rId66" Type="http://schemas.openxmlformats.org/officeDocument/2006/relationships/hyperlink" Target="#Scenarier!D407"/><Relationship Id="rId87" Type="http://schemas.openxmlformats.org/officeDocument/2006/relationships/hyperlink" Target="https://realdania.dk/" TargetMode="External"/><Relationship Id="rId61" Type="http://schemas.openxmlformats.org/officeDocument/2006/relationships/image" Target="../media/image2.png"/><Relationship Id="rId82" Type="http://schemas.openxmlformats.org/officeDocument/2006/relationships/image" Target="../media/image8.png"/><Relationship Id="rId19" Type="http://schemas.openxmlformats.org/officeDocument/2006/relationships/chart" Target="../charts/chart20.xml"/><Relationship Id="rId14" Type="http://schemas.openxmlformats.org/officeDocument/2006/relationships/chart" Target="../charts/chart15.xml"/><Relationship Id="rId30" Type="http://schemas.openxmlformats.org/officeDocument/2006/relationships/chart" Target="../charts/chart31.xml"/><Relationship Id="rId35" Type="http://schemas.openxmlformats.org/officeDocument/2006/relationships/chart" Target="../charts/chart36.xml"/><Relationship Id="rId56" Type="http://schemas.openxmlformats.org/officeDocument/2006/relationships/chart" Target="../charts/chart57.xml"/><Relationship Id="rId77"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5.xml"/><Relationship Id="rId13" Type="http://schemas.openxmlformats.org/officeDocument/2006/relationships/chart" Target="../charts/chart80.xml"/><Relationship Id="rId3" Type="http://schemas.openxmlformats.org/officeDocument/2006/relationships/chart" Target="../charts/chart70.xml"/><Relationship Id="rId7" Type="http://schemas.openxmlformats.org/officeDocument/2006/relationships/chart" Target="../charts/chart74.xml"/><Relationship Id="rId12" Type="http://schemas.openxmlformats.org/officeDocument/2006/relationships/chart" Target="../charts/chart79.xml"/><Relationship Id="rId2" Type="http://schemas.openxmlformats.org/officeDocument/2006/relationships/chart" Target="../charts/chart69.xml"/><Relationship Id="rId16" Type="http://schemas.openxmlformats.org/officeDocument/2006/relationships/hyperlink" Target="#Scenarier!D519"/><Relationship Id="rId1" Type="http://schemas.openxmlformats.org/officeDocument/2006/relationships/image" Target="../media/image1.png"/><Relationship Id="rId6" Type="http://schemas.openxmlformats.org/officeDocument/2006/relationships/chart" Target="../charts/chart73.xml"/><Relationship Id="rId11" Type="http://schemas.openxmlformats.org/officeDocument/2006/relationships/chart" Target="../charts/chart78.xml"/><Relationship Id="rId5" Type="http://schemas.openxmlformats.org/officeDocument/2006/relationships/chart" Target="../charts/chart72.xml"/><Relationship Id="rId15" Type="http://schemas.openxmlformats.org/officeDocument/2006/relationships/chart" Target="../charts/chart82.xml"/><Relationship Id="rId10" Type="http://schemas.openxmlformats.org/officeDocument/2006/relationships/chart" Target="../charts/chart77.xml"/><Relationship Id="rId4" Type="http://schemas.openxmlformats.org/officeDocument/2006/relationships/chart" Target="../charts/chart71.xml"/><Relationship Id="rId9" Type="http://schemas.openxmlformats.org/officeDocument/2006/relationships/chart" Target="../charts/chart76.xml"/><Relationship Id="rId14"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368298</xdr:colOff>
      <xdr:row>2</xdr:row>
      <xdr:rowOff>139700</xdr:rowOff>
    </xdr:from>
    <xdr:to>
      <xdr:col>16</xdr:col>
      <xdr:colOff>114299</xdr:colOff>
      <xdr:row>7</xdr:row>
      <xdr:rowOff>114300</xdr:rowOff>
    </xdr:to>
    <xdr:sp macro="" textlink="">
      <xdr:nvSpPr>
        <xdr:cNvPr id="7" name="Tekstfelt 12">
          <a:extLst>
            <a:ext uri="{FF2B5EF4-FFF2-40B4-BE49-F238E27FC236}">
              <a16:creationId xmlns:a16="http://schemas.microsoft.com/office/drawing/2014/main" id="{00000000-0008-0000-0000-00000D000000}"/>
            </a:ext>
          </a:extLst>
        </xdr:cNvPr>
        <xdr:cNvSpPr txBox="1"/>
      </xdr:nvSpPr>
      <xdr:spPr>
        <a:xfrm>
          <a:off x="1111248" y="758825"/>
          <a:ext cx="7880351" cy="974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rgbClr val="22273E"/>
              </a:solidFill>
              <a:latin typeface="Source Sans Pro" panose="020B0503030403020204" pitchFamily="34" charset="0"/>
            </a:rPr>
            <a:t>Scenarieværktøj til nybyg</a:t>
          </a:r>
        </a:p>
      </xdr:txBody>
    </xdr:sp>
    <xdr:clientData/>
  </xdr:twoCellAnchor>
  <xdr:twoCellAnchor>
    <xdr:from>
      <xdr:col>2</xdr:col>
      <xdr:colOff>323850</xdr:colOff>
      <xdr:row>6</xdr:row>
      <xdr:rowOff>171450</xdr:rowOff>
    </xdr:from>
    <xdr:to>
      <xdr:col>24</xdr:col>
      <xdr:colOff>104775</xdr:colOff>
      <xdr:row>21</xdr:row>
      <xdr:rowOff>161925</xdr:rowOff>
    </xdr:to>
    <xdr:sp macro="" textlink="">
      <xdr:nvSpPr>
        <xdr:cNvPr id="6" name="Tekstfelt 15">
          <a:extLst>
            <a:ext uri="{FF2B5EF4-FFF2-40B4-BE49-F238E27FC236}">
              <a16:creationId xmlns:a16="http://schemas.microsoft.com/office/drawing/2014/main" id="{00000000-0008-0000-0000-000010000000}"/>
            </a:ext>
            <a:ext uri="{147F2762-F138-4A5C-976F-8EAC2B608ADB}">
              <a16:predDERef xmlns:a16="http://schemas.microsoft.com/office/drawing/2014/main" pred="{00000000-0008-0000-0000-00000F000000}"/>
            </a:ext>
          </a:extLst>
        </xdr:cNvPr>
        <xdr:cNvSpPr txBox="1"/>
      </xdr:nvSpPr>
      <xdr:spPr>
        <a:xfrm>
          <a:off x="1057275" y="1543050"/>
          <a:ext cx="12353925" cy="2705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400" b="0" i="0">
              <a:solidFill>
                <a:srgbClr val="22273E"/>
              </a:solidFill>
              <a:effectLst/>
              <a:latin typeface="Source Sans Pro" charset="0"/>
              <a:ea typeface="Source Sans Pro" charset="0"/>
              <a:cs typeface="Source Sans Pro" charset="0"/>
            </a:rPr>
            <a:t>Værktøjets funktion er at give et estimat af betydningen af valg af materialer i den tidlige designproces. </a:t>
          </a:r>
        </a:p>
        <a:p>
          <a:endParaRPr lang="da-DK" sz="2400" b="0" i="0">
            <a:solidFill>
              <a:srgbClr val="22273E"/>
            </a:solidFill>
            <a:effectLst/>
            <a:latin typeface="Source Sans Pro" charset="0"/>
            <a:ea typeface="Source Sans Pro" charset="0"/>
            <a:cs typeface="Source Sans Pro" charset="0"/>
          </a:endParaRPr>
        </a:p>
        <a:p>
          <a:r>
            <a:rPr lang="da-DK" sz="2400" b="0" i="0">
              <a:solidFill>
                <a:srgbClr val="22273E"/>
              </a:solidFill>
              <a:effectLst/>
              <a:latin typeface="Source Sans Pro" charset="0"/>
              <a:ea typeface="Source Sans Pro" charset="0"/>
              <a:cs typeface="Source Sans Pro" charset="0"/>
            </a:rPr>
            <a:t>Resultaterne fra værktøjet er estimater til en tidlig indikation og skal suppleres af en LCAberegning inden ibrugtagningstilladelse</a:t>
          </a:r>
          <a:r>
            <a:rPr lang="da-DK" sz="2400" b="0" i="0" baseline="0">
              <a:solidFill>
                <a:srgbClr val="22273E"/>
              </a:solidFill>
              <a:effectLst/>
              <a:latin typeface="Source Sans Pro" charset="0"/>
              <a:ea typeface="Source Sans Pro" charset="0"/>
              <a:cs typeface="Source Sans Pro" charset="0"/>
            </a:rPr>
            <a:t> kan opnås.</a:t>
          </a:r>
          <a:endParaRPr lang="da-DK" sz="2400" b="0" i="0">
            <a:solidFill>
              <a:srgbClr val="22273E"/>
            </a:solidFill>
            <a:latin typeface="Source Sans Pro" charset="0"/>
            <a:ea typeface="Source Sans Pro" charset="0"/>
            <a:cs typeface="Source Sans Pro"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xdr:txBody>
    </xdr:sp>
    <xdr:clientData/>
  </xdr:twoCellAnchor>
  <xdr:twoCellAnchor editAs="oneCell">
    <xdr:from>
      <xdr:col>21</xdr:col>
      <xdr:colOff>347382</xdr:colOff>
      <xdr:row>1</xdr:row>
      <xdr:rowOff>11207</xdr:rowOff>
    </xdr:from>
    <xdr:to>
      <xdr:col>24</xdr:col>
      <xdr:colOff>570005</xdr:colOff>
      <xdr:row>72</xdr:row>
      <xdr:rowOff>122235</xdr:rowOff>
    </xdr:to>
    <xdr:pic>
      <xdr:nvPicPr>
        <xdr:cNvPr id="23" name="Billede 22">
          <a:extLst>
            <a:ext uri="{FF2B5EF4-FFF2-40B4-BE49-F238E27FC236}">
              <a16:creationId xmlns:a16="http://schemas.microsoft.com/office/drawing/2014/main" id="{33C71943-EF5E-4AD7-A2AA-D5C47450C9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17823" y="190501"/>
          <a:ext cx="2047501" cy="653207"/>
        </a:xfrm>
        <a:prstGeom prst="rect">
          <a:avLst/>
        </a:prstGeom>
      </xdr:spPr>
    </xdr:pic>
    <xdr:clientData/>
  </xdr:twoCellAnchor>
  <xdr:twoCellAnchor>
    <xdr:from>
      <xdr:col>2</xdr:col>
      <xdr:colOff>369096</xdr:colOff>
      <xdr:row>20</xdr:row>
      <xdr:rowOff>11906</xdr:rowOff>
    </xdr:from>
    <xdr:to>
      <xdr:col>16</xdr:col>
      <xdr:colOff>44450</xdr:colOff>
      <xdr:row>45</xdr:row>
      <xdr:rowOff>115888</xdr:rowOff>
    </xdr:to>
    <xdr:graphicFrame macro="">
      <xdr:nvGraphicFramePr>
        <xdr:cNvPr id="2" name="Diagram 79">
          <a:extLst>
            <a:ext uri="{FF2B5EF4-FFF2-40B4-BE49-F238E27FC236}">
              <a16:creationId xmlns:a16="http://schemas.microsoft.com/office/drawing/2014/main" id="{95C44FE1-266D-4CE9-8650-E8C28EF21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8731</xdr:colOff>
      <xdr:row>20</xdr:row>
      <xdr:rowOff>50799</xdr:rowOff>
    </xdr:from>
    <xdr:to>
      <xdr:col>22</xdr:col>
      <xdr:colOff>345281</xdr:colOff>
      <xdr:row>45</xdr:row>
      <xdr:rowOff>119063</xdr:rowOff>
    </xdr:to>
    <xdr:sp macro="" textlink="">
      <xdr:nvSpPr>
        <xdr:cNvPr id="3" name="Tekstfelt 2">
          <a:extLst>
            <a:ext uri="{FF2B5EF4-FFF2-40B4-BE49-F238E27FC236}">
              <a16:creationId xmlns:a16="http://schemas.microsoft.com/office/drawing/2014/main" id="{3BE7B375-B7F8-3F1B-F358-58A0A9243F24}"/>
            </a:ext>
          </a:extLst>
        </xdr:cNvPr>
        <xdr:cNvSpPr txBox="1"/>
      </xdr:nvSpPr>
      <xdr:spPr>
        <a:xfrm>
          <a:off x="9700419" y="3932237"/>
          <a:ext cx="3313112" cy="4533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clientData/>
  </xdr:twoCellAnchor>
  <xdr:twoCellAnchor>
    <xdr:from>
      <xdr:col>3</xdr:col>
      <xdr:colOff>230909</xdr:colOff>
      <xdr:row>61</xdr:row>
      <xdr:rowOff>173182</xdr:rowOff>
    </xdr:from>
    <xdr:to>
      <xdr:col>9</xdr:col>
      <xdr:colOff>346363</xdr:colOff>
      <xdr:row>64</xdr:row>
      <xdr:rowOff>86591</xdr:rowOff>
    </xdr:to>
    <xdr:sp macro="" textlink="">
      <xdr:nvSpPr>
        <xdr:cNvPr id="4" name="Rektangel 3">
          <a:extLst>
            <a:ext uri="{FF2B5EF4-FFF2-40B4-BE49-F238E27FC236}">
              <a16:creationId xmlns:a16="http://schemas.microsoft.com/office/drawing/2014/main" id="{F17B7924-CFC3-9BD2-50AC-DB6B4E2E2D4F}"/>
            </a:ext>
          </a:extLst>
        </xdr:cNvPr>
        <xdr:cNvSpPr/>
      </xdr:nvSpPr>
      <xdr:spPr>
        <a:xfrm>
          <a:off x="1597121" y="11612803"/>
          <a:ext cx="3694545" cy="461818"/>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10</xdr:col>
      <xdr:colOff>431416</xdr:colOff>
      <xdr:row>57</xdr:row>
      <xdr:rowOff>125076</xdr:rowOff>
    </xdr:from>
    <xdr:to>
      <xdr:col>13</xdr:col>
      <xdr:colOff>182804</xdr:colOff>
      <xdr:row>64</xdr:row>
      <xdr:rowOff>113916</xdr:rowOff>
    </xdr:to>
    <xdr:sp macro="" textlink="">
      <xdr:nvSpPr>
        <xdr:cNvPr id="5" name="Rektangel 4">
          <a:extLst>
            <a:ext uri="{FF2B5EF4-FFF2-40B4-BE49-F238E27FC236}">
              <a16:creationId xmlns:a16="http://schemas.microsoft.com/office/drawing/2014/main" id="{9268522C-6859-462B-AB70-8A5655B55E40}"/>
            </a:ext>
          </a:extLst>
        </xdr:cNvPr>
        <xdr:cNvSpPr/>
      </xdr:nvSpPr>
      <xdr:spPr>
        <a:xfrm>
          <a:off x="5973234" y="10833485"/>
          <a:ext cx="1540934" cy="126846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14</xdr:col>
      <xdr:colOff>324043</xdr:colOff>
      <xdr:row>49</xdr:row>
      <xdr:rowOff>36945</xdr:rowOff>
    </xdr:from>
    <xdr:to>
      <xdr:col>17</xdr:col>
      <xdr:colOff>38486</xdr:colOff>
      <xdr:row>64</xdr:row>
      <xdr:rowOff>144318</xdr:rowOff>
    </xdr:to>
    <xdr:sp macro="" textlink="">
      <xdr:nvSpPr>
        <xdr:cNvPr id="8" name="Rektangel 7">
          <a:extLst>
            <a:ext uri="{FF2B5EF4-FFF2-40B4-BE49-F238E27FC236}">
              <a16:creationId xmlns:a16="http://schemas.microsoft.com/office/drawing/2014/main" id="{AA606E3F-4643-4A73-8AC4-DE8E9949D6A2}"/>
            </a:ext>
          </a:extLst>
        </xdr:cNvPr>
        <xdr:cNvSpPr/>
      </xdr:nvSpPr>
      <xdr:spPr>
        <a:xfrm>
          <a:off x="8251922" y="9282930"/>
          <a:ext cx="1503988" cy="2849418"/>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71</xdr:row>
      <xdr:rowOff>0</xdr:rowOff>
    </xdr:from>
    <xdr:to>
      <xdr:col>19</xdr:col>
      <xdr:colOff>0</xdr:colOff>
      <xdr:row>79</xdr:row>
      <xdr:rowOff>0</xdr:rowOff>
    </xdr:to>
    <xdr:graphicFrame macro="">
      <xdr:nvGraphicFramePr>
        <xdr:cNvPr id="22" name="Diagra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2923</xdr:colOff>
      <xdr:row>112</xdr:row>
      <xdr:rowOff>0</xdr:rowOff>
    </xdr:from>
    <xdr:to>
      <xdr:col>19</xdr:col>
      <xdr:colOff>0</xdr:colOff>
      <xdr:row>112</xdr:row>
      <xdr:rowOff>0</xdr:rowOff>
    </xdr:to>
    <xdr:graphicFrame macro="">
      <xdr:nvGraphicFramePr>
        <xdr:cNvPr id="33" name="Diagram 32">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13832</xdr:colOff>
      <xdr:row>71</xdr:row>
      <xdr:rowOff>12698</xdr:rowOff>
    </xdr:from>
    <xdr:to>
      <xdr:col>19</xdr:col>
      <xdr:colOff>38099</xdr:colOff>
      <xdr:row>78</xdr:row>
      <xdr:rowOff>476250</xdr:rowOff>
    </xdr:to>
    <xdr:graphicFrame macro="">
      <xdr:nvGraphicFramePr>
        <xdr:cNvPr id="40" name="Diagram 23">
          <a:extLst>
            <a:ext uri="{FF2B5EF4-FFF2-40B4-BE49-F238E27FC236}">
              <a16:creationId xmlns:a16="http://schemas.microsoft.com/office/drawing/2014/main" id="{4FFD74E8-7013-C955-F2F5-02CEC179A7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93</xdr:col>
      <xdr:colOff>49100</xdr:colOff>
      <xdr:row>78</xdr:row>
      <xdr:rowOff>68036</xdr:rowOff>
    </xdr:from>
    <xdr:to>
      <xdr:col>94</xdr:col>
      <xdr:colOff>2202656</xdr:colOff>
      <xdr:row>85</xdr:row>
      <xdr:rowOff>465819</xdr:rowOff>
    </xdr:to>
    <xdr:graphicFrame macro="">
      <xdr:nvGraphicFramePr>
        <xdr:cNvPr id="211" name="Diagram 24">
          <a:extLst>
            <a:ext uri="{FF2B5EF4-FFF2-40B4-BE49-F238E27FC236}">
              <a16:creationId xmlns:a16="http://schemas.microsoft.com/office/drawing/2014/main" id="{96B3D09D-C629-708E-5325-46B89E4846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xdr:colOff>
      <xdr:row>82</xdr:row>
      <xdr:rowOff>0</xdr:rowOff>
    </xdr:from>
    <xdr:to>
      <xdr:col>18</xdr:col>
      <xdr:colOff>1428750</xdr:colOff>
      <xdr:row>89</xdr:row>
      <xdr:rowOff>463551</xdr:rowOff>
    </xdr:to>
    <xdr:graphicFrame macro="">
      <xdr:nvGraphicFramePr>
        <xdr:cNvPr id="227" name="Diagram 25">
          <a:extLst>
            <a:ext uri="{FF2B5EF4-FFF2-40B4-BE49-F238E27FC236}">
              <a16:creationId xmlns:a16="http://schemas.microsoft.com/office/drawing/2014/main" id="{C092E775-7B0D-4A88-AC1F-A036B2A4D973}"/>
            </a:ext>
            <a:ext uri="{147F2762-F138-4A5C-976F-8EAC2B608ADB}">
              <a16:predDERef xmlns:a16="http://schemas.microsoft.com/office/drawing/2014/main" pred="{96B3D09D-C629-708E-5325-46B89E484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93</xdr:col>
      <xdr:colOff>49100</xdr:colOff>
      <xdr:row>89</xdr:row>
      <xdr:rowOff>68036</xdr:rowOff>
    </xdr:from>
    <xdr:to>
      <xdr:col>95</xdr:col>
      <xdr:colOff>24606</xdr:colOff>
      <xdr:row>96</xdr:row>
      <xdr:rowOff>465819</xdr:rowOff>
    </xdr:to>
    <xdr:graphicFrame macro="">
      <xdr:nvGraphicFramePr>
        <xdr:cNvPr id="163" name="Diagram 26">
          <a:extLst>
            <a:ext uri="{FF2B5EF4-FFF2-40B4-BE49-F238E27FC236}">
              <a16:creationId xmlns:a16="http://schemas.microsoft.com/office/drawing/2014/main" id="{5CA1D2BF-9115-42DA-A7AB-3A37D44EC350}"/>
            </a:ext>
            <a:ext uri="{147F2762-F138-4A5C-976F-8EAC2B608ADB}">
              <a16:predDERef xmlns:a16="http://schemas.microsoft.com/office/drawing/2014/main" pred="{C092E775-7B0D-4A88-AC1F-A036B2A4D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137</xdr:row>
      <xdr:rowOff>428624</xdr:rowOff>
    </xdr:from>
    <xdr:to>
      <xdr:col>19</xdr:col>
      <xdr:colOff>0</xdr:colOff>
      <xdr:row>144</xdr:row>
      <xdr:rowOff>489857</xdr:rowOff>
    </xdr:to>
    <xdr:graphicFrame macro="">
      <xdr:nvGraphicFramePr>
        <xdr:cNvPr id="29" name="Diagram 28">
          <a:extLst>
            <a:ext uri="{FF2B5EF4-FFF2-40B4-BE49-F238E27FC236}">
              <a16:creationId xmlns:a16="http://schemas.microsoft.com/office/drawing/2014/main" id="{5E8270DA-F45E-4134-93C2-710C87341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108857</xdr:colOff>
      <xdr:row>138</xdr:row>
      <xdr:rowOff>21430</xdr:rowOff>
    </xdr:from>
    <xdr:to>
      <xdr:col>19</xdr:col>
      <xdr:colOff>28915</xdr:colOff>
      <xdr:row>144</xdr:row>
      <xdr:rowOff>409688</xdr:rowOff>
    </xdr:to>
    <xdr:graphicFrame macro="">
      <xdr:nvGraphicFramePr>
        <xdr:cNvPr id="37" name="Diagram 36">
          <a:extLst>
            <a:ext uri="{FF2B5EF4-FFF2-40B4-BE49-F238E27FC236}">
              <a16:creationId xmlns:a16="http://schemas.microsoft.com/office/drawing/2014/main" id="{EE1F2307-7963-46DB-A804-3B7A2DDC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93</xdr:col>
      <xdr:colOff>49100</xdr:colOff>
      <xdr:row>145</xdr:row>
      <xdr:rowOff>68037</xdr:rowOff>
    </xdr:from>
    <xdr:to>
      <xdr:col>94</xdr:col>
      <xdr:colOff>2202656</xdr:colOff>
      <xdr:row>152</xdr:row>
      <xdr:rowOff>408214</xdr:rowOff>
    </xdr:to>
    <xdr:graphicFrame macro="">
      <xdr:nvGraphicFramePr>
        <xdr:cNvPr id="215" name="Diagram 37">
          <a:extLst>
            <a:ext uri="{FF2B5EF4-FFF2-40B4-BE49-F238E27FC236}">
              <a16:creationId xmlns:a16="http://schemas.microsoft.com/office/drawing/2014/main" id="{1843D863-26C7-4346-9AB5-3C8A824CC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37647</xdr:colOff>
      <xdr:row>198</xdr:row>
      <xdr:rowOff>9524</xdr:rowOff>
    </xdr:from>
    <xdr:to>
      <xdr:col>19</xdr:col>
      <xdr:colOff>37646</xdr:colOff>
      <xdr:row>204</xdr:row>
      <xdr:rowOff>394607</xdr:rowOff>
    </xdr:to>
    <xdr:graphicFrame macro="">
      <xdr:nvGraphicFramePr>
        <xdr:cNvPr id="53" name="Diagram 52">
          <a:extLst>
            <a:ext uri="{FF2B5EF4-FFF2-40B4-BE49-F238E27FC236}">
              <a16:creationId xmlns:a16="http://schemas.microsoft.com/office/drawing/2014/main" id="{CE387BC8-65D9-4DAB-BF15-ABDC4015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93</xdr:col>
      <xdr:colOff>58841</xdr:colOff>
      <xdr:row>205</xdr:row>
      <xdr:rowOff>68037</xdr:rowOff>
    </xdr:from>
    <xdr:to>
      <xdr:col>94</xdr:col>
      <xdr:colOff>2212397</xdr:colOff>
      <xdr:row>211</xdr:row>
      <xdr:rowOff>408214</xdr:rowOff>
    </xdr:to>
    <xdr:graphicFrame macro="">
      <xdr:nvGraphicFramePr>
        <xdr:cNvPr id="220" name="Diagram 53">
          <a:extLst>
            <a:ext uri="{FF2B5EF4-FFF2-40B4-BE49-F238E27FC236}">
              <a16:creationId xmlns:a16="http://schemas.microsoft.com/office/drawing/2014/main" id="{583ED6EF-DF7A-46A4-AA35-D75D59F0A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283</xdr:row>
      <xdr:rowOff>1</xdr:rowOff>
    </xdr:from>
    <xdr:to>
      <xdr:col>19</xdr:col>
      <xdr:colOff>0</xdr:colOff>
      <xdr:row>289</xdr:row>
      <xdr:rowOff>78442</xdr:rowOff>
    </xdr:to>
    <xdr:graphicFrame macro="">
      <xdr:nvGraphicFramePr>
        <xdr:cNvPr id="76" name="Diagram 54">
          <a:extLst>
            <a:ext uri="{FF2B5EF4-FFF2-40B4-BE49-F238E27FC236}">
              <a16:creationId xmlns:a16="http://schemas.microsoft.com/office/drawing/2014/main" id="{32BF6BD2-A0D4-4717-BD3B-CBF2B2322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37647</xdr:colOff>
      <xdr:row>283</xdr:row>
      <xdr:rowOff>15875</xdr:rowOff>
    </xdr:from>
    <xdr:to>
      <xdr:col>19</xdr:col>
      <xdr:colOff>37646</xdr:colOff>
      <xdr:row>289</xdr:row>
      <xdr:rowOff>44824</xdr:rowOff>
    </xdr:to>
    <xdr:graphicFrame macro="">
      <xdr:nvGraphicFramePr>
        <xdr:cNvPr id="51" name="Diagram 55">
          <a:extLst>
            <a:ext uri="{FF2B5EF4-FFF2-40B4-BE49-F238E27FC236}">
              <a16:creationId xmlns:a16="http://schemas.microsoft.com/office/drawing/2014/main" id="{B7CC9F57-A057-4311-B741-9C1E7D120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93</xdr:col>
      <xdr:colOff>56243</xdr:colOff>
      <xdr:row>290</xdr:row>
      <xdr:rowOff>68039</xdr:rowOff>
    </xdr:from>
    <xdr:to>
      <xdr:col>94</xdr:col>
      <xdr:colOff>2209799</xdr:colOff>
      <xdr:row>296</xdr:row>
      <xdr:rowOff>112060</xdr:rowOff>
    </xdr:to>
    <xdr:graphicFrame macro="">
      <xdr:nvGraphicFramePr>
        <xdr:cNvPr id="221" name="Diagram 56">
          <a:extLst>
            <a:ext uri="{FF2B5EF4-FFF2-40B4-BE49-F238E27FC236}">
              <a16:creationId xmlns:a16="http://schemas.microsoft.com/office/drawing/2014/main" id="{11746568-E1C0-476E-AE19-97BD274D2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183243</xdr:colOff>
      <xdr:row>340</xdr:row>
      <xdr:rowOff>140846</xdr:rowOff>
    </xdr:from>
    <xdr:to>
      <xdr:col>18</xdr:col>
      <xdr:colOff>1360714</xdr:colOff>
      <xdr:row>346</xdr:row>
      <xdr:rowOff>428411</xdr:rowOff>
    </xdr:to>
    <xdr:graphicFrame macro="">
      <xdr:nvGraphicFramePr>
        <xdr:cNvPr id="17" name="Diagram 57">
          <a:extLst>
            <a:ext uri="{FF2B5EF4-FFF2-40B4-BE49-F238E27FC236}">
              <a16:creationId xmlns:a16="http://schemas.microsoft.com/office/drawing/2014/main" id="{CFA41DF2-1ED2-40EC-AC1C-3FE7D0C6E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31750</xdr:colOff>
      <xdr:row>369</xdr:row>
      <xdr:rowOff>359834</xdr:rowOff>
    </xdr:from>
    <xdr:to>
      <xdr:col>19</xdr:col>
      <xdr:colOff>52917</xdr:colOff>
      <xdr:row>376</xdr:row>
      <xdr:rowOff>411238</xdr:rowOff>
    </xdr:to>
    <xdr:graphicFrame macro="">
      <xdr:nvGraphicFramePr>
        <xdr:cNvPr id="69" name="Diagram 68">
          <a:extLst>
            <a:ext uri="{FF2B5EF4-FFF2-40B4-BE49-F238E27FC236}">
              <a16:creationId xmlns:a16="http://schemas.microsoft.com/office/drawing/2014/main" id="{E806B0A9-4642-43FA-A083-924EAC4DE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38100</xdr:colOff>
      <xdr:row>400</xdr:row>
      <xdr:rowOff>21228</xdr:rowOff>
    </xdr:from>
    <xdr:to>
      <xdr:col>19</xdr:col>
      <xdr:colOff>61232</xdr:colOff>
      <xdr:row>406</xdr:row>
      <xdr:rowOff>381000</xdr:rowOff>
    </xdr:to>
    <xdr:graphicFrame macro="">
      <xdr:nvGraphicFramePr>
        <xdr:cNvPr id="65" name="Diagram 73">
          <a:extLst>
            <a:ext uri="{FF2B5EF4-FFF2-40B4-BE49-F238E27FC236}">
              <a16:creationId xmlns:a16="http://schemas.microsoft.com/office/drawing/2014/main" id="{980B8355-64B8-4295-BD96-C00DB77A6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81643</xdr:colOff>
      <xdr:row>93</xdr:row>
      <xdr:rowOff>0</xdr:rowOff>
    </xdr:from>
    <xdr:to>
      <xdr:col>19</xdr:col>
      <xdr:colOff>103981</xdr:colOff>
      <xdr:row>100</xdr:row>
      <xdr:rowOff>463551</xdr:rowOff>
    </xdr:to>
    <xdr:graphicFrame macro="">
      <xdr:nvGraphicFramePr>
        <xdr:cNvPr id="60" name="Diagram 59">
          <a:extLst>
            <a:ext uri="{FF2B5EF4-FFF2-40B4-BE49-F238E27FC236}">
              <a16:creationId xmlns:a16="http://schemas.microsoft.com/office/drawing/2014/main" id="{70F2BBD7-40EF-4D27-B20F-2A080BE20421}"/>
            </a:ext>
            <a:ext uri="{147F2762-F138-4A5C-976F-8EAC2B608ADB}">
              <a16:predDERef xmlns:a16="http://schemas.microsoft.com/office/drawing/2014/main" pred="{82D1E211-8878-22B0-C68D-0B46AC9E6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93</xdr:col>
      <xdr:colOff>49100</xdr:colOff>
      <xdr:row>100</xdr:row>
      <xdr:rowOff>68036</xdr:rowOff>
    </xdr:from>
    <xdr:to>
      <xdr:col>94</xdr:col>
      <xdr:colOff>2202656</xdr:colOff>
      <xdr:row>107</xdr:row>
      <xdr:rowOff>465819</xdr:rowOff>
    </xdr:to>
    <xdr:graphicFrame macro="">
      <xdr:nvGraphicFramePr>
        <xdr:cNvPr id="61" name="Diagram 60">
          <a:extLst>
            <a:ext uri="{FF2B5EF4-FFF2-40B4-BE49-F238E27FC236}">
              <a16:creationId xmlns:a16="http://schemas.microsoft.com/office/drawing/2014/main" id="{D6DF97AC-99EE-4E13-8D35-13A761DF89E0}"/>
            </a:ext>
            <a:ext uri="{147F2762-F138-4A5C-976F-8EAC2B608ADB}">
              <a16:predDERef xmlns:a16="http://schemas.microsoft.com/office/drawing/2014/main" pred="{70F2BBD7-40EF-4D27-B20F-2A080BE20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1</xdr:colOff>
      <xdr:row>104</xdr:row>
      <xdr:rowOff>0</xdr:rowOff>
    </xdr:from>
    <xdr:to>
      <xdr:col>19</xdr:col>
      <xdr:colOff>47624</xdr:colOff>
      <xdr:row>111</xdr:row>
      <xdr:rowOff>466726</xdr:rowOff>
    </xdr:to>
    <xdr:graphicFrame macro="">
      <xdr:nvGraphicFramePr>
        <xdr:cNvPr id="73" name="Diagram 72">
          <a:extLst>
            <a:ext uri="{FF2B5EF4-FFF2-40B4-BE49-F238E27FC236}">
              <a16:creationId xmlns:a16="http://schemas.microsoft.com/office/drawing/2014/main" id="{DA025913-8124-4F12-ADEB-644D74F0300D}"/>
            </a:ext>
            <a:ext uri="{147F2762-F138-4A5C-976F-8EAC2B608ADB}">
              <a16:predDERef xmlns:a16="http://schemas.microsoft.com/office/drawing/2014/main" pred="{D6DF97AC-99EE-4E13-8D35-13A761DF8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93</xdr:col>
      <xdr:colOff>49100</xdr:colOff>
      <xdr:row>111</xdr:row>
      <xdr:rowOff>68036</xdr:rowOff>
    </xdr:from>
    <xdr:to>
      <xdr:col>94</xdr:col>
      <xdr:colOff>2202656</xdr:colOff>
      <xdr:row>118</xdr:row>
      <xdr:rowOff>465819</xdr:rowOff>
    </xdr:to>
    <xdr:graphicFrame macro="">
      <xdr:nvGraphicFramePr>
        <xdr:cNvPr id="74" name="Diagram 73">
          <a:extLst>
            <a:ext uri="{FF2B5EF4-FFF2-40B4-BE49-F238E27FC236}">
              <a16:creationId xmlns:a16="http://schemas.microsoft.com/office/drawing/2014/main" id="{BA11D947-1A02-4B10-9B48-03CA760C162D}"/>
            </a:ext>
            <a:ext uri="{147F2762-F138-4A5C-976F-8EAC2B608ADB}">
              <a16:predDERef xmlns:a16="http://schemas.microsoft.com/office/drawing/2014/main" pred="{DA025913-8124-4F12-ADEB-644D74F03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95249</xdr:colOff>
      <xdr:row>115</xdr:row>
      <xdr:rowOff>0</xdr:rowOff>
    </xdr:from>
    <xdr:to>
      <xdr:col>19</xdr:col>
      <xdr:colOff>59530</xdr:colOff>
      <xdr:row>122</xdr:row>
      <xdr:rowOff>463551</xdr:rowOff>
    </xdr:to>
    <xdr:graphicFrame macro="">
      <xdr:nvGraphicFramePr>
        <xdr:cNvPr id="75" name="Diagram 74">
          <a:extLst>
            <a:ext uri="{FF2B5EF4-FFF2-40B4-BE49-F238E27FC236}">
              <a16:creationId xmlns:a16="http://schemas.microsoft.com/office/drawing/2014/main" id="{EA5C3AE1-9CF0-4047-87BC-883BC247F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93</xdr:col>
      <xdr:colOff>49100</xdr:colOff>
      <xdr:row>122</xdr:row>
      <xdr:rowOff>68036</xdr:rowOff>
    </xdr:from>
    <xdr:to>
      <xdr:col>94</xdr:col>
      <xdr:colOff>2202656</xdr:colOff>
      <xdr:row>129</xdr:row>
      <xdr:rowOff>465819</xdr:rowOff>
    </xdr:to>
    <xdr:graphicFrame macro="">
      <xdr:nvGraphicFramePr>
        <xdr:cNvPr id="80" name="Diagram 79">
          <a:extLst>
            <a:ext uri="{FF2B5EF4-FFF2-40B4-BE49-F238E27FC236}">
              <a16:creationId xmlns:a16="http://schemas.microsoft.com/office/drawing/2014/main" id="{754FEC2B-822F-416A-AD24-DC4ACE3DB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17</xdr:col>
      <xdr:colOff>0</xdr:colOff>
      <xdr:row>148</xdr:row>
      <xdr:rowOff>0</xdr:rowOff>
    </xdr:from>
    <xdr:to>
      <xdr:col>19</xdr:col>
      <xdr:colOff>0</xdr:colOff>
      <xdr:row>154</xdr:row>
      <xdr:rowOff>489857</xdr:rowOff>
    </xdr:to>
    <xdr:graphicFrame macro="">
      <xdr:nvGraphicFramePr>
        <xdr:cNvPr id="110" name="Diagram 109">
          <a:extLst>
            <a:ext uri="{FF2B5EF4-FFF2-40B4-BE49-F238E27FC236}">
              <a16:creationId xmlns:a16="http://schemas.microsoft.com/office/drawing/2014/main" id="{13671DF4-947D-4C78-8B75-0C76AE737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13835</xdr:colOff>
      <xdr:row>148</xdr:row>
      <xdr:rowOff>9524</xdr:rowOff>
    </xdr:from>
    <xdr:to>
      <xdr:col>19</xdr:col>
      <xdr:colOff>13834</xdr:colOff>
      <xdr:row>154</xdr:row>
      <xdr:rowOff>394607</xdr:rowOff>
    </xdr:to>
    <xdr:graphicFrame macro="">
      <xdr:nvGraphicFramePr>
        <xdr:cNvPr id="111" name="Diagram 110">
          <a:extLst>
            <a:ext uri="{FF2B5EF4-FFF2-40B4-BE49-F238E27FC236}">
              <a16:creationId xmlns:a16="http://schemas.microsoft.com/office/drawing/2014/main" id="{497D7298-EAF4-42A0-BEA6-BD2462FB3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93</xdr:col>
      <xdr:colOff>49100</xdr:colOff>
      <xdr:row>155</xdr:row>
      <xdr:rowOff>68037</xdr:rowOff>
    </xdr:from>
    <xdr:to>
      <xdr:col>94</xdr:col>
      <xdr:colOff>2202656</xdr:colOff>
      <xdr:row>161</xdr:row>
      <xdr:rowOff>408214</xdr:rowOff>
    </xdr:to>
    <xdr:graphicFrame macro="">
      <xdr:nvGraphicFramePr>
        <xdr:cNvPr id="167" name="Diagram 111">
          <a:extLst>
            <a:ext uri="{FF2B5EF4-FFF2-40B4-BE49-F238E27FC236}">
              <a16:creationId xmlns:a16="http://schemas.microsoft.com/office/drawing/2014/main" id="{0E753A80-E3A0-462D-92F0-D463E0823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37647</xdr:colOff>
      <xdr:row>158</xdr:row>
      <xdr:rowOff>9524</xdr:rowOff>
    </xdr:from>
    <xdr:to>
      <xdr:col>19</xdr:col>
      <xdr:colOff>37646</xdr:colOff>
      <xdr:row>164</xdr:row>
      <xdr:rowOff>394607</xdr:rowOff>
    </xdr:to>
    <xdr:graphicFrame macro="">
      <xdr:nvGraphicFramePr>
        <xdr:cNvPr id="127" name="Diagram 126">
          <a:extLst>
            <a:ext uri="{FF2B5EF4-FFF2-40B4-BE49-F238E27FC236}">
              <a16:creationId xmlns:a16="http://schemas.microsoft.com/office/drawing/2014/main" id="{07003A01-8BCB-4CD2-A31E-1935E798F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93</xdr:col>
      <xdr:colOff>67500</xdr:colOff>
      <xdr:row>165</xdr:row>
      <xdr:rowOff>68037</xdr:rowOff>
    </xdr:from>
    <xdr:to>
      <xdr:col>94</xdr:col>
      <xdr:colOff>2221056</xdr:colOff>
      <xdr:row>171</xdr:row>
      <xdr:rowOff>408214</xdr:rowOff>
    </xdr:to>
    <xdr:graphicFrame macro="">
      <xdr:nvGraphicFramePr>
        <xdr:cNvPr id="166" name="Diagram 127">
          <a:extLst>
            <a:ext uri="{FF2B5EF4-FFF2-40B4-BE49-F238E27FC236}">
              <a16:creationId xmlns:a16="http://schemas.microsoft.com/office/drawing/2014/main" id="{B247D72C-6ECE-49A2-9A8A-287EC645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37647</xdr:colOff>
      <xdr:row>168</xdr:row>
      <xdr:rowOff>9524</xdr:rowOff>
    </xdr:from>
    <xdr:to>
      <xdr:col>19</xdr:col>
      <xdr:colOff>37646</xdr:colOff>
      <xdr:row>174</xdr:row>
      <xdr:rowOff>394607</xdr:rowOff>
    </xdr:to>
    <xdr:graphicFrame macro="">
      <xdr:nvGraphicFramePr>
        <xdr:cNvPr id="143" name="Diagram 142">
          <a:extLst>
            <a:ext uri="{FF2B5EF4-FFF2-40B4-BE49-F238E27FC236}">
              <a16:creationId xmlns:a16="http://schemas.microsoft.com/office/drawing/2014/main" id="{1697F39F-E78A-421F-B5D2-87A6FAB3E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93</xdr:col>
      <xdr:colOff>58841</xdr:colOff>
      <xdr:row>175</xdr:row>
      <xdr:rowOff>68037</xdr:rowOff>
    </xdr:from>
    <xdr:to>
      <xdr:col>94</xdr:col>
      <xdr:colOff>2212397</xdr:colOff>
      <xdr:row>181</xdr:row>
      <xdr:rowOff>408214</xdr:rowOff>
    </xdr:to>
    <xdr:graphicFrame macro="">
      <xdr:nvGraphicFramePr>
        <xdr:cNvPr id="165" name="Diagram 143">
          <a:extLst>
            <a:ext uri="{FF2B5EF4-FFF2-40B4-BE49-F238E27FC236}">
              <a16:creationId xmlns:a16="http://schemas.microsoft.com/office/drawing/2014/main" id="{AA824A68-2466-4A8F-A18E-3FE1423B4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37647</xdr:colOff>
      <xdr:row>178</xdr:row>
      <xdr:rowOff>9524</xdr:rowOff>
    </xdr:from>
    <xdr:to>
      <xdr:col>19</xdr:col>
      <xdr:colOff>37646</xdr:colOff>
      <xdr:row>184</xdr:row>
      <xdr:rowOff>394607</xdr:rowOff>
    </xdr:to>
    <xdr:graphicFrame macro="">
      <xdr:nvGraphicFramePr>
        <xdr:cNvPr id="161" name="Diagram 160">
          <a:extLst>
            <a:ext uri="{FF2B5EF4-FFF2-40B4-BE49-F238E27FC236}">
              <a16:creationId xmlns:a16="http://schemas.microsoft.com/office/drawing/2014/main" id="{64AAC40D-B0AC-4E5D-8FCB-7A55507E1C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93</xdr:col>
      <xdr:colOff>53069</xdr:colOff>
      <xdr:row>185</xdr:row>
      <xdr:rowOff>68037</xdr:rowOff>
    </xdr:from>
    <xdr:to>
      <xdr:col>94</xdr:col>
      <xdr:colOff>2206625</xdr:colOff>
      <xdr:row>191</xdr:row>
      <xdr:rowOff>408214</xdr:rowOff>
    </xdr:to>
    <xdr:graphicFrame macro="">
      <xdr:nvGraphicFramePr>
        <xdr:cNvPr id="164" name="Diagram 161">
          <a:extLst>
            <a:ext uri="{FF2B5EF4-FFF2-40B4-BE49-F238E27FC236}">
              <a16:creationId xmlns:a16="http://schemas.microsoft.com/office/drawing/2014/main" id="{B7E25410-50B4-4FAC-A70D-5E8E9E547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37647</xdr:colOff>
      <xdr:row>208</xdr:row>
      <xdr:rowOff>9524</xdr:rowOff>
    </xdr:from>
    <xdr:to>
      <xdr:col>19</xdr:col>
      <xdr:colOff>37646</xdr:colOff>
      <xdr:row>214</xdr:row>
      <xdr:rowOff>394607</xdr:rowOff>
    </xdr:to>
    <xdr:graphicFrame macro="">
      <xdr:nvGraphicFramePr>
        <xdr:cNvPr id="11" name="Diagram 10">
          <a:extLst>
            <a:ext uri="{FF2B5EF4-FFF2-40B4-BE49-F238E27FC236}">
              <a16:creationId xmlns:a16="http://schemas.microsoft.com/office/drawing/2014/main" id="{72F89A88-1F99-4DF3-83FE-ADED271DF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93</xdr:col>
      <xdr:colOff>58841</xdr:colOff>
      <xdr:row>215</xdr:row>
      <xdr:rowOff>68037</xdr:rowOff>
    </xdr:from>
    <xdr:to>
      <xdr:col>94</xdr:col>
      <xdr:colOff>2212397</xdr:colOff>
      <xdr:row>221</xdr:row>
      <xdr:rowOff>408214</xdr:rowOff>
    </xdr:to>
    <xdr:graphicFrame macro="">
      <xdr:nvGraphicFramePr>
        <xdr:cNvPr id="12" name="Diagram 11">
          <a:extLst>
            <a:ext uri="{FF2B5EF4-FFF2-40B4-BE49-F238E27FC236}">
              <a16:creationId xmlns:a16="http://schemas.microsoft.com/office/drawing/2014/main" id="{025C4D35-6AA6-4199-9A62-1B74A9E94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37647</xdr:colOff>
      <xdr:row>218</xdr:row>
      <xdr:rowOff>9524</xdr:rowOff>
    </xdr:from>
    <xdr:to>
      <xdr:col>19</xdr:col>
      <xdr:colOff>37646</xdr:colOff>
      <xdr:row>224</xdr:row>
      <xdr:rowOff>394607</xdr:rowOff>
    </xdr:to>
    <xdr:graphicFrame macro="">
      <xdr:nvGraphicFramePr>
        <xdr:cNvPr id="15" name="Diagram 14">
          <a:extLst>
            <a:ext uri="{FF2B5EF4-FFF2-40B4-BE49-F238E27FC236}">
              <a16:creationId xmlns:a16="http://schemas.microsoft.com/office/drawing/2014/main" id="{57948FEC-63FA-4ACD-9862-6EC7AF5CB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93</xdr:col>
      <xdr:colOff>58841</xdr:colOff>
      <xdr:row>225</xdr:row>
      <xdr:rowOff>68037</xdr:rowOff>
    </xdr:from>
    <xdr:to>
      <xdr:col>94</xdr:col>
      <xdr:colOff>2212397</xdr:colOff>
      <xdr:row>231</xdr:row>
      <xdr:rowOff>408214</xdr:rowOff>
    </xdr:to>
    <xdr:graphicFrame macro="">
      <xdr:nvGraphicFramePr>
        <xdr:cNvPr id="16" name="Diagram 15">
          <a:extLst>
            <a:ext uri="{FF2B5EF4-FFF2-40B4-BE49-F238E27FC236}">
              <a16:creationId xmlns:a16="http://schemas.microsoft.com/office/drawing/2014/main" id="{4DCA263A-3A64-4BC4-928C-B42591811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17</xdr:col>
      <xdr:colOff>37647</xdr:colOff>
      <xdr:row>228</xdr:row>
      <xdr:rowOff>9524</xdr:rowOff>
    </xdr:from>
    <xdr:to>
      <xdr:col>19</xdr:col>
      <xdr:colOff>37646</xdr:colOff>
      <xdr:row>234</xdr:row>
      <xdr:rowOff>394607</xdr:rowOff>
    </xdr:to>
    <xdr:graphicFrame macro="">
      <xdr:nvGraphicFramePr>
        <xdr:cNvPr id="18" name="Diagram 17">
          <a:extLst>
            <a:ext uri="{FF2B5EF4-FFF2-40B4-BE49-F238E27FC236}">
              <a16:creationId xmlns:a16="http://schemas.microsoft.com/office/drawing/2014/main" id="{7DFDB1CF-4540-44CE-A6F0-0FC7DAA0D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93</xdr:col>
      <xdr:colOff>67500</xdr:colOff>
      <xdr:row>235</xdr:row>
      <xdr:rowOff>68037</xdr:rowOff>
    </xdr:from>
    <xdr:to>
      <xdr:col>94</xdr:col>
      <xdr:colOff>2221056</xdr:colOff>
      <xdr:row>241</xdr:row>
      <xdr:rowOff>408214</xdr:rowOff>
    </xdr:to>
    <xdr:graphicFrame macro="">
      <xdr:nvGraphicFramePr>
        <xdr:cNvPr id="122" name="Diagram 18">
          <a:extLst>
            <a:ext uri="{FF2B5EF4-FFF2-40B4-BE49-F238E27FC236}">
              <a16:creationId xmlns:a16="http://schemas.microsoft.com/office/drawing/2014/main" id="{17B1B5AE-CD91-4135-B912-5581DB43B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17</xdr:col>
      <xdr:colOff>37647</xdr:colOff>
      <xdr:row>238</xdr:row>
      <xdr:rowOff>9524</xdr:rowOff>
    </xdr:from>
    <xdr:to>
      <xdr:col>19</xdr:col>
      <xdr:colOff>37646</xdr:colOff>
      <xdr:row>244</xdr:row>
      <xdr:rowOff>394607</xdr:rowOff>
    </xdr:to>
    <xdr:graphicFrame macro="">
      <xdr:nvGraphicFramePr>
        <xdr:cNvPr id="25" name="Diagram 24">
          <a:extLst>
            <a:ext uri="{FF2B5EF4-FFF2-40B4-BE49-F238E27FC236}">
              <a16:creationId xmlns:a16="http://schemas.microsoft.com/office/drawing/2014/main" id="{AA0CBA40-B2FD-49A8-B7A0-2D4715845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93</xdr:col>
      <xdr:colOff>84818</xdr:colOff>
      <xdr:row>245</xdr:row>
      <xdr:rowOff>68037</xdr:rowOff>
    </xdr:from>
    <xdr:to>
      <xdr:col>94</xdr:col>
      <xdr:colOff>2285999</xdr:colOff>
      <xdr:row>251</xdr:row>
      <xdr:rowOff>408214</xdr:rowOff>
    </xdr:to>
    <xdr:graphicFrame macro="">
      <xdr:nvGraphicFramePr>
        <xdr:cNvPr id="123" name="Diagram 29">
          <a:extLst>
            <a:ext uri="{FF2B5EF4-FFF2-40B4-BE49-F238E27FC236}">
              <a16:creationId xmlns:a16="http://schemas.microsoft.com/office/drawing/2014/main" id="{303EBE36-4377-474D-8B9F-9446A8D04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17</xdr:col>
      <xdr:colOff>37647</xdr:colOff>
      <xdr:row>293</xdr:row>
      <xdr:rowOff>12700</xdr:rowOff>
    </xdr:from>
    <xdr:to>
      <xdr:col>19</xdr:col>
      <xdr:colOff>37646</xdr:colOff>
      <xdr:row>299</xdr:row>
      <xdr:rowOff>149680</xdr:rowOff>
    </xdr:to>
    <xdr:graphicFrame macro="">
      <xdr:nvGraphicFramePr>
        <xdr:cNvPr id="129" name="Diagram 81">
          <a:extLst>
            <a:ext uri="{FF2B5EF4-FFF2-40B4-BE49-F238E27FC236}">
              <a16:creationId xmlns:a16="http://schemas.microsoft.com/office/drawing/2014/main" id="{C9CCA9AB-01D7-4DAE-AE6A-04EC258AA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93</xdr:col>
      <xdr:colOff>62016</xdr:colOff>
      <xdr:row>300</xdr:row>
      <xdr:rowOff>64863</xdr:rowOff>
    </xdr:from>
    <xdr:to>
      <xdr:col>94</xdr:col>
      <xdr:colOff>2212397</xdr:colOff>
      <xdr:row>306</xdr:row>
      <xdr:rowOff>122465</xdr:rowOff>
    </xdr:to>
    <xdr:graphicFrame macro="">
      <xdr:nvGraphicFramePr>
        <xdr:cNvPr id="160" name="Diagram 85">
          <a:extLst>
            <a:ext uri="{FF2B5EF4-FFF2-40B4-BE49-F238E27FC236}">
              <a16:creationId xmlns:a16="http://schemas.microsoft.com/office/drawing/2014/main" id="{15060F57-15AA-47E1-9CFA-7BED47BCA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302</xdr:row>
      <xdr:rowOff>0</xdr:rowOff>
    </xdr:from>
    <xdr:to>
      <xdr:col>19</xdr:col>
      <xdr:colOff>0</xdr:colOff>
      <xdr:row>308</xdr:row>
      <xdr:rowOff>89647</xdr:rowOff>
    </xdr:to>
    <xdr:graphicFrame macro="">
      <xdr:nvGraphicFramePr>
        <xdr:cNvPr id="133" name="Diagram 86">
          <a:extLst>
            <a:ext uri="{FF2B5EF4-FFF2-40B4-BE49-F238E27FC236}">
              <a16:creationId xmlns:a16="http://schemas.microsoft.com/office/drawing/2014/main" id="{F54B5E41-206C-4B0F-8C3B-B4A81BEC4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17</xdr:col>
      <xdr:colOff>37647</xdr:colOff>
      <xdr:row>302</xdr:row>
      <xdr:rowOff>9525</xdr:rowOff>
    </xdr:from>
    <xdr:to>
      <xdr:col>19</xdr:col>
      <xdr:colOff>37646</xdr:colOff>
      <xdr:row>308</xdr:row>
      <xdr:rowOff>67236</xdr:rowOff>
    </xdr:to>
    <xdr:graphicFrame macro="">
      <xdr:nvGraphicFramePr>
        <xdr:cNvPr id="136" name="Diagram 91">
          <a:extLst>
            <a:ext uri="{FF2B5EF4-FFF2-40B4-BE49-F238E27FC236}">
              <a16:creationId xmlns:a16="http://schemas.microsoft.com/office/drawing/2014/main" id="{8DFC83D5-E917-4007-AB91-45C3B4228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93</xdr:col>
      <xdr:colOff>58841</xdr:colOff>
      <xdr:row>309</xdr:row>
      <xdr:rowOff>68038</xdr:rowOff>
    </xdr:from>
    <xdr:to>
      <xdr:col>94</xdr:col>
      <xdr:colOff>2212397</xdr:colOff>
      <xdr:row>315</xdr:row>
      <xdr:rowOff>123265</xdr:rowOff>
    </xdr:to>
    <xdr:graphicFrame macro="">
      <xdr:nvGraphicFramePr>
        <xdr:cNvPr id="157" name="Diagram 92">
          <a:extLst>
            <a:ext uri="{FF2B5EF4-FFF2-40B4-BE49-F238E27FC236}">
              <a16:creationId xmlns:a16="http://schemas.microsoft.com/office/drawing/2014/main" id="{78B1DC6E-E600-4745-B8DE-3DC126CD6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17</xdr:col>
      <xdr:colOff>0</xdr:colOff>
      <xdr:row>311</xdr:row>
      <xdr:rowOff>0</xdr:rowOff>
    </xdr:from>
    <xdr:to>
      <xdr:col>19</xdr:col>
      <xdr:colOff>0</xdr:colOff>
      <xdr:row>317</xdr:row>
      <xdr:rowOff>89647</xdr:rowOff>
    </xdr:to>
    <xdr:graphicFrame macro="">
      <xdr:nvGraphicFramePr>
        <xdr:cNvPr id="159" name="Diagram 93">
          <a:extLst>
            <a:ext uri="{FF2B5EF4-FFF2-40B4-BE49-F238E27FC236}">
              <a16:creationId xmlns:a16="http://schemas.microsoft.com/office/drawing/2014/main" id="{FF67B9E6-F0E1-47F7-BB45-885BAB5E3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37647</xdr:colOff>
      <xdr:row>311</xdr:row>
      <xdr:rowOff>9525</xdr:rowOff>
    </xdr:from>
    <xdr:to>
      <xdr:col>19</xdr:col>
      <xdr:colOff>37646</xdr:colOff>
      <xdr:row>317</xdr:row>
      <xdr:rowOff>78442</xdr:rowOff>
    </xdr:to>
    <xdr:graphicFrame macro="">
      <xdr:nvGraphicFramePr>
        <xdr:cNvPr id="192" name="Diagram 94">
          <a:extLst>
            <a:ext uri="{FF2B5EF4-FFF2-40B4-BE49-F238E27FC236}">
              <a16:creationId xmlns:a16="http://schemas.microsoft.com/office/drawing/2014/main" id="{36426BD6-E4F4-4C07-AB86-95178D6B3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93</xdr:col>
      <xdr:colOff>84818</xdr:colOff>
      <xdr:row>318</xdr:row>
      <xdr:rowOff>68038</xdr:rowOff>
    </xdr:from>
    <xdr:to>
      <xdr:col>94</xdr:col>
      <xdr:colOff>2285999</xdr:colOff>
      <xdr:row>324</xdr:row>
      <xdr:rowOff>123265</xdr:rowOff>
    </xdr:to>
    <xdr:graphicFrame macro="">
      <xdr:nvGraphicFramePr>
        <xdr:cNvPr id="169" name="Diagram 95">
          <a:extLst>
            <a:ext uri="{FF2B5EF4-FFF2-40B4-BE49-F238E27FC236}">
              <a16:creationId xmlns:a16="http://schemas.microsoft.com/office/drawing/2014/main" id="{E98750EE-4B21-4B7B-87CA-EFCB20F0A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0</xdr:colOff>
      <xdr:row>320</xdr:row>
      <xdr:rowOff>1</xdr:rowOff>
    </xdr:from>
    <xdr:to>
      <xdr:col>19</xdr:col>
      <xdr:colOff>0</xdr:colOff>
      <xdr:row>326</xdr:row>
      <xdr:rowOff>212913</xdr:rowOff>
    </xdr:to>
    <xdr:graphicFrame macro="">
      <xdr:nvGraphicFramePr>
        <xdr:cNvPr id="200" name="Diagram 96">
          <a:extLst>
            <a:ext uri="{FF2B5EF4-FFF2-40B4-BE49-F238E27FC236}">
              <a16:creationId xmlns:a16="http://schemas.microsoft.com/office/drawing/2014/main" id="{F9C19C7D-BB1A-48CA-B986-8481B3469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17</xdr:col>
      <xdr:colOff>37647</xdr:colOff>
      <xdr:row>320</xdr:row>
      <xdr:rowOff>9525</xdr:rowOff>
    </xdr:from>
    <xdr:to>
      <xdr:col>19</xdr:col>
      <xdr:colOff>37646</xdr:colOff>
      <xdr:row>326</xdr:row>
      <xdr:rowOff>156882</xdr:rowOff>
    </xdr:to>
    <xdr:graphicFrame macro="">
      <xdr:nvGraphicFramePr>
        <xdr:cNvPr id="202" name="Diagram 97">
          <a:extLst>
            <a:ext uri="{FF2B5EF4-FFF2-40B4-BE49-F238E27FC236}">
              <a16:creationId xmlns:a16="http://schemas.microsoft.com/office/drawing/2014/main" id="{046EDCD5-9B81-4EAC-A9F0-912BB64C0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17</xdr:col>
      <xdr:colOff>31750</xdr:colOff>
      <xdr:row>350</xdr:row>
      <xdr:rowOff>92226</xdr:rowOff>
    </xdr:from>
    <xdr:to>
      <xdr:col>19</xdr:col>
      <xdr:colOff>42334</xdr:colOff>
      <xdr:row>356</xdr:row>
      <xdr:rowOff>389316</xdr:rowOff>
    </xdr:to>
    <xdr:graphicFrame macro="">
      <xdr:nvGraphicFramePr>
        <xdr:cNvPr id="7" name="Diagram 104">
          <a:extLst>
            <a:ext uri="{FF2B5EF4-FFF2-40B4-BE49-F238E27FC236}">
              <a16:creationId xmlns:a16="http://schemas.microsoft.com/office/drawing/2014/main" id="{4152675C-098E-4F00-9B24-6292137AE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17</xdr:col>
      <xdr:colOff>42332</xdr:colOff>
      <xdr:row>360</xdr:row>
      <xdr:rowOff>81642</xdr:rowOff>
    </xdr:from>
    <xdr:to>
      <xdr:col>19</xdr:col>
      <xdr:colOff>42333</xdr:colOff>
      <xdr:row>366</xdr:row>
      <xdr:rowOff>378732</xdr:rowOff>
    </xdr:to>
    <xdr:graphicFrame macro="">
      <xdr:nvGraphicFramePr>
        <xdr:cNvPr id="28" name="Diagram 108">
          <a:extLst>
            <a:ext uri="{FF2B5EF4-FFF2-40B4-BE49-F238E27FC236}">
              <a16:creationId xmlns:a16="http://schemas.microsoft.com/office/drawing/2014/main" id="{AFCF448E-1E1A-407F-8CC6-CB2CA4D3A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17</xdr:col>
      <xdr:colOff>10585</xdr:colOff>
      <xdr:row>380</xdr:row>
      <xdr:rowOff>141826</xdr:rowOff>
    </xdr:from>
    <xdr:to>
      <xdr:col>19</xdr:col>
      <xdr:colOff>6477</xdr:colOff>
      <xdr:row>386</xdr:row>
      <xdr:rowOff>445266</xdr:rowOff>
    </xdr:to>
    <xdr:graphicFrame macro="">
      <xdr:nvGraphicFramePr>
        <xdr:cNvPr id="71" name="Diagram 122">
          <a:extLst>
            <a:ext uri="{FF2B5EF4-FFF2-40B4-BE49-F238E27FC236}">
              <a16:creationId xmlns:a16="http://schemas.microsoft.com/office/drawing/2014/main" id="{C3DA4749-A4A5-4872-817C-6D6788A57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17</xdr:col>
      <xdr:colOff>68035</xdr:colOff>
      <xdr:row>410</xdr:row>
      <xdr:rowOff>95250</xdr:rowOff>
    </xdr:from>
    <xdr:to>
      <xdr:col>19</xdr:col>
      <xdr:colOff>95250</xdr:colOff>
      <xdr:row>416</xdr:row>
      <xdr:rowOff>411389</xdr:rowOff>
    </xdr:to>
    <xdr:graphicFrame macro="">
      <xdr:nvGraphicFramePr>
        <xdr:cNvPr id="170" name="Diagram 73">
          <a:extLst>
            <a:ext uri="{FF2B5EF4-FFF2-40B4-BE49-F238E27FC236}">
              <a16:creationId xmlns:a16="http://schemas.microsoft.com/office/drawing/2014/main" id="{1F74FBFE-DC70-4BAA-991D-454392EE6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17</xdr:col>
      <xdr:colOff>68035</xdr:colOff>
      <xdr:row>420</xdr:row>
      <xdr:rowOff>95250</xdr:rowOff>
    </xdr:from>
    <xdr:to>
      <xdr:col>19</xdr:col>
      <xdr:colOff>88446</xdr:colOff>
      <xdr:row>426</xdr:row>
      <xdr:rowOff>411389</xdr:rowOff>
    </xdr:to>
    <xdr:graphicFrame macro="">
      <xdr:nvGraphicFramePr>
        <xdr:cNvPr id="174" name="Diagram 73">
          <a:extLst>
            <a:ext uri="{FF2B5EF4-FFF2-40B4-BE49-F238E27FC236}">
              <a16:creationId xmlns:a16="http://schemas.microsoft.com/office/drawing/2014/main" id="{72A5694B-73E4-4343-849E-4655DBA1A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17</xdr:col>
      <xdr:colOff>2923</xdr:colOff>
      <xdr:row>430</xdr:row>
      <xdr:rowOff>25312</xdr:rowOff>
    </xdr:from>
    <xdr:to>
      <xdr:col>19</xdr:col>
      <xdr:colOff>0</xdr:colOff>
      <xdr:row>437</xdr:row>
      <xdr:rowOff>13608</xdr:rowOff>
    </xdr:to>
    <xdr:graphicFrame macro="">
      <xdr:nvGraphicFramePr>
        <xdr:cNvPr id="176" name="Diagram 72">
          <a:extLst>
            <a:ext uri="{FF2B5EF4-FFF2-40B4-BE49-F238E27FC236}">
              <a16:creationId xmlns:a16="http://schemas.microsoft.com/office/drawing/2014/main" id="{23F401D4-914B-4C52-937F-A8F8D93CF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17</xdr:col>
      <xdr:colOff>68035</xdr:colOff>
      <xdr:row>430</xdr:row>
      <xdr:rowOff>95250</xdr:rowOff>
    </xdr:from>
    <xdr:to>
      <xdr:col>19</xdr:col>
      <xdr:colOff>87312</xdr:colOff>
      <xdr:row>436</xdr:row>
      <xdr:rowOff>411389</xdr:rowOff>
    </xdr:to>
    <xdr:graphicFrame macro="">
      <xdr:nvGraphicFramePr>
        <xdr:cNvPr id="178" name="Diagram 73">
          <a:extLst>
            <a:ext uri="{FF2B5EF4-FFF2-40B4-BE49-F238E27FC236}">
              <a16:creationId xmlns:a16="http://schemas.microsoft.com/office/drawing/2014/main" id="{D4A7BC40-E071-4EB5-A9C1-2B26B29A5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17</xdr:col>
      <xdr:colOff>68035</xdr:colOff>
      <xdr:row>440</xdr:row>
      <xdr:rowOff>95250</xdr:rowOff>
    </xdr:from>
    <xdr:to>
      <xdr:col>19</xdr:col>
      <xdr:colOff>111124</xdr:colOff>
      <xdr:row>446</xdr:row>
      <xdr:rowOff>411389</xdr:rowOff>
    </xdr:to>
    <xdr:graphicFrame macro="">
      <xdr:nvGraphicFramePr>
        <xdr:cNvPr id="182" name="Diagram 73">
          <a:extLst>
            <a:ext uri="{FF2B5EF4-FFF2-40B4-BE49-F238E27FC236}">
              <a16:creationId xmlns:a16="http://schemas.microsoft.com/office/drawing/2014/main" id="{A7C3350E-060B-4AFF-8879-AB19A3803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93</xdr:col>
      <xdr:colOff>97288</xdr:colOff>
      <xdr:row>327</xdr:row>
      <xdr:rowOff>190500</xdr:rowOff>
    </xdr:from>
    <xdr:to>
      <xdr:col>94</xdr:col>
      <xdr:colOff>2212744</xdr:colOff>
      <xdr:row>333</xdr:row>
      <xdr:rowOff>181666</xdr:rowOff>
    </xdr:to>
    <xdr:graphicFrame macro="">
      <xdr:nvGraphicFramePr>
        <xdr:cNvPr id="168" name="Diagram 133">
          <a:extLst>
            <a:ext uri="{FF2B5EF4-FFF2-40B4-BE49-F238E27FC236}">
              <a16:creationId xmlns:a16="http://schemas.microsoft.com/office/drawing/2014/main" id="{E4A79938-0904-4161-A0CB-7C805BEE7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7</xdr:col>
      <xdr:colOff>724939</xdr:colOff>
      <xdr:row>48</xdr:row>
      <xdr:rowOff>47228</xdr:rowOff>
    </xdr:from>
    <xdr:to>
      <xdr:col>8</xdr:col>
      <xdr:colOff>193660</xdr:colOff>
      <xdr:row>50</xdr:row>
      <xdr:rowOff>2766</xdr:rowOff>
    </xdr:to>
    <xdr:pic>
      <xdr:nvPicPr>
        <xdr:cNvPr id="187" name="Billede 205">
          <a:hlinkClick xmlns:r="http://schemas.openxmlformats.org/officeDocument/2006/relationships" r:id="rId60"/>
          <a:extLst>
            <a:ext uri="{FF2B5EF4-FFF2-40B4-BE49-F238E27FC236}">
              <a16:creationId xmlns:a16="http://schemas.microsoft.com/office/drawing/2014/main" id="{58415ECF-D9BD-236E-3B8E-48EF43C72953}"/>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7153"/>
        <a:stretch/>
      </xdr:blipFill>
      <xdr:spPr>
        <a:xfrm>
          <a:off x="10279247" y="12253882"/>
          <a:ext cx="648355" cy="549174"/>
        </a:xfrm>
        <a:prstGeom prst="rect">
          <a:avLst/>
        </a:prstGeom>
      </xdr:spPr>
    </xdr:pic>
    <xdr:clientData/>
  </xdr:twoCellAnchor>
  <xdr:twoCellAnchor editAs="oneCell">
    <xdr:from>
      <xdr:col>1</xdr:col>
      <xdr:colOff>146749</xdr:colOff>
      <xdr:row>60</xdr:row>
      <xdr:rowOff>143204</xdr:rowOff>
    </xdr:from>
    <xdr:to>
      <xdr:col>3</xdr:col>
      <xdr:colOff>7632</xdr:colOff>
      <xdr:row>68</xdr:row>
      <xdr:rowOff>371808</xdr:rowOff>
    </xdr:to>
    <xdr:pic>
      <xdr:nvPicPr>
        <xdr:cNvPr id="3" name="Billede 2">
          <a:extLst>
            <a:ext uri="{FF2B5EF4-FFF2-40B4-BE49-F238E27FC236}">
              <a16:creationId xmlns:a16="http://schemas.microsoft.com/office/drawing/2014/main" id="{A1CD71F2-6065-4DB4-A882-F2257458950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752885" y="14707795"/>
          <a:ext cx="3390617" cy="2712896"/>
        </a:xfrm>
        <a:prstGeom prst="rect">
          <a:avLst/>
        </a:prstGeom>
      </xdr:spPr>
    </xdr:pic>
    <xdr:clientData/>
  </xdr:twoCellAnchor>
  <xdr:twoCellAnchor editAs="oneCell">
    <xdr:from>
      <xdr:col>17</xdr:col>
      <xdr:colOff>1013505</xdr:colOff>
      <xdr:row>70</xdr:row>
      <xdr:rowOff>39686</xdr:rowOff>
    </xdr:from>
    <xdr:to>
      <xdr:col>18</xdr:col>
      <xdr:colOff>495465</xdr:colOff>
      <xdr:row>71</xdr:row>
      <xdr:rowOff>400689</xdr:rowOff>
    </xdr:to>
    <xdr:pic>
      <xdr:nvPicPr>
        <xdr:cNvPr id="35" name="Billede 4">
          <a:extLst>
            <a:ext uri="{FF2B5EF4-FFF2-40B4-BE49-F238E27FC236}">
              <a16:creationId xmlns:a16="http://schemas.microsoft.com/office/drawing/2014/main" id="{BA479684-FF8F-4F11-8C1B-23E0CBFE566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240648" y="18232436"/>
          <a:ext cx="941553" cy="752436"/>
        </a:xfrm>
        <a:prstGeom prst="rect">
          <a:avLst/>
        </a:prstGeom>
      </xdr:spPr>
    </xdr:pic>
    <xdr:clientData/>
  </xdr:twoCellAnchor>
  <xdr:twoCellAnchor editAs="oneCell">
    <xdr:from>
      <xdr:col>8</xdr:col>
      <xdr:colOff>446088</xdr:colOff>
      <xdr:row>48</xdr:row>
      <xdr:rowOff>48023</xdr:rowOff>
    </xdr:from>
    <xdr:to>
      <xdr:col>8</xdr:col>
      <xdr:colOff>1096254</xdr:colOff>
      <xdr:row>50</xdr:row>
      <xdr:rowOff>2959</xdr:rowOff>
    </xdr:to>
    <xdr:pic>
      <xdr:nvPicPr>
        <xdr:cNvPr id="45" name="Billede 205">
          <a:hlinkClick xmlns:r="http://schemas.openxmlformats.org/officeDocument/2006/relationships" r:id="rId62"/>
          <a:extLst>
            <a:ext uri="{FF2B5EF4-FFF2-40B4-BE49-F238E27FC236}">
              <a16:creationId xmlns:a16="http://schemas.microsoft.com/office/drawing/2014/main" id="{C13080D6-F986-472E-991F-43636B9C77F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4540" t="-566" r="72613" b="566"/>
        <a:stretch/>
      </xdr:blipFill>
      <xdr:spPr>
        <a:xfrm>
          <a:off x="11170117" y="13629552"/>
          <a:ext cx="646991" cy="582466"/>
        </a:xfrm>
        <a:prstGeom prst="rect">
          <a:avLst/>
        </a:prstGeom>
      </xdr:spPr>
    </xdr:pic>
    <xdr:clientData/>
  </xdr:twoCellAnchor>
  <xdr:twoCellAnchor editAs="oneCell">
    <xdr:from>
      <xdr:col>8</xdr:col>
      <xdr:colOff>1296718</xdr:colOff>
      <xdr:row>48</xdr:row>
      <xdr:rowOff>51463</xdr:rowOff>
    </xdr:from>
    <xdr:to>
      <xdr:col>9</xdr:col>
      <xdr:colOff>427572</xdr:colOff>
      <xdr:row>50</xdr:row>
      <xdr:rowOff>3168</xdr:rowOff>
    </xdr:to>
    <xdr:pic>
      <xdr:nvPicPr>
        <xdr:cNvPr id="46" name="Billede 205">
          <a:hlinkClick xmlns:r="http://schemas.openxmlformats.org/officeDocument/2006/relationships" r:id="rId63"/>
          <a:extLst>
            <a:ext uri="{FF2B5EF4-FFF2-40B4-BE49-F238E27FC236}">
              <a16:creationId xmlns:a16="http://schemas.microsoft.com/office/drawing/2014/main" id="{BF493AAD-AB92-4979-A0F4-B139BB47784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551" t="-566" r="58602" b="566"/>
        <a:stretch/>
      </xdr:blipFill>
      <xdr:spPr>
        <a:xfrm>
          <a:off x="12019147" y="12198106"/>
          <a:ext cx="654854" cy="547121"/>
        </a:xfrm>
        <a:prstGeom prst="rect">
          <a:avLst/>
        </a:prstGeom>
      </xdr:spPr>
    </xdr:pic>
    <xdr:clientData/>
  </xdr:twoCellAnchor>
  <xdr:twoCellAnchor editAs="oneCell">
    <xdr:from>
      <xdr:col>10</xdr:col>
      <xdr:colOff>101928</xdr:colOff>
      <xdr:row>48</xdr:row>
      <xdr:rowOff>55759</xdr:rowOff>
    </xdr:from>
    <xdr:to>
      <xdr:col>10</xdr:col>
      <xdr:colOff>755163</xdr:colOff>
      <xdr:row>50</xdr:row>
      <xdr:rowOff>2547</xdr:rowOff>
    </xdr:to>
    <xdr:pic>
      <xdr:nvPicPr>
        <xdr:cNvPr id="47" name="Billede 205">
          <a:hlinkClick xmlns:r="http://schemas.openxmlformats.org/officeDocument/2006/relationships" r:id="rId64"/>
          <a:extLst>
            <a:ext uri="{FF2B5EF4-FFF2-40B4-BE49-F238E27FC236}">
              <a16:creationId xmlns:a16="http://schemas.microsoft.com/office/drawing/2014/main" id="{C142CB09-E35B-4225-B1DF-980CAE7AB3A4}"/>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695" t="-566" r="44458" b="566"/>
        <a:stretch/>
      </xdr:blipFill>
      <xdr:spPr>
        <a:xfrm>
          <a:off x="13811359" y="12352862"/>
          <a:ext cx="650060" cy="542017"/>
        </a:xfrm>
        <a:prstGeom prst="rect">
          <a:avLst/>
        </a:prstGeom>
      </xdr:spPr>
    </xdr:pic>
    <xdr:clientData/>
  </xdr:twoCellAnchor>
  <xdr:twoCellAnchor editAs="oneCell">
    <xdr:from>
      <xdr:col>10</xdr:col>
      <xdr:colOff>953595</xdr:colOff>
      <xdr:row>48</xdr:row>
      <xdr:rowOff>59121</xdr:rowOff>
    </xdr:from>
    <xdr:to>
      <xdr:col>11</xdr:col>
      <xdr:colOff>483139</xdr:colOff>
      <xdr:row>50</xdr:row>
      <xdr:rowOff>2546</xdr:rowOff>
    </xdr:to>
    <xdr:pic>
      <xdr:nvPicPr>
        <xdr:cNvPr id="49" name="Billede 205">
          <a:hlinkClick xmlns:r="http://schemas.openxmlformats.org/officeDocument/2006/relationships" r:id="rId65"/>
          <a:extLst>
            <a:ext uri="{FF2B5EF4-FFF2-40B4-BE49-F238E27FC236}">
              <a16:creationId xmlns:a16="http://schemas.microsoft.com/office/drawing/2014/main" id="{6EB79D0A-CFC2-49B8-B602-A4C56E3641C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7301" t="-1" r="29852" b="1"/>
        <a:stretch/>
      </xdr:blipFill>
      <xdr:spPr>
        <a:xfrm>
          <a:off x="14663026" y="12356224"/>
          <a:ext cx="715133" cy="538654"/>
        </a:xfrm>
        <a:prstGeom prst="rect">
          <a:avLst/>
        </a:prstGeom>
      </xdr:spPr>
    </xdr:pic>
    <xdr:clientData/>
  </xdr:twoCellAnchor>
  <xdr:twoCellAnchor editAs="oneCell">
    <xdr:from>
      <xdr:col>12</xdr:col>
      <xdr:colOff>377007</xdr:colOff>
      <xdr:row>48</xdr:row>
      <xdr:rowOff>48474</xdr:rowOff>
    </xdr:from>
    <xdr:to>
      <xdr:col>12</xdr:col>
      <xdr:colOff>1020900</xdr:colOff>
      <xdr:row>50</xdr:row>
      <xdr:rowOff>2686</xdr:rowOff>
    </xdr:to>
    <xdr:pic>
      <xdr:nvPicPr>
        <xdr:cNvPr id="54" name="Billede 205">
          <a:hlinkClick xmlns:r="http://schemas.openxmlformats.org/officeDocument/2006/relationships" r:id="rId66"/>
          <a:extLst>
            <a:ext uri="{FF2B5EF4-FFF2-40B4-BE49-F238E27FC236}">
              <a16:creationId xmlns:a16="http://schemas.microsoft.com/office/drawing/2014/main" id="{8B4C1E74-FEEC-48F2-BE38-760FE4DAAF3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907" t="-1132" r="15246" b="1132"/>
        <a:stretch/>
      </xdr:blipFill>
      <xdr:spPr>
        <a:xfrm>
          <a:off x="16451266" y="12345577"/>
          <a:ext cx="647068" cy="539339"/>
        </a:xfrm>
        <a:prstGeom prst="rect">
          <a:avLst/>
        </a:prstGeom>
      </xdr:spPr>
    </xdr:pic>
    <xdr:clientData/>
  </xdr:twoCellAnchor>
  <xdr:twoCellAnchor editAs="oneCell">
    <xdr:from>
      <xdr:col>11</xdr:col>
      <xdr:colOff>683915</xdr:colOff>
      <xdr:row>48</xdr:row>
      <xdr:rowOff>47168</xdr:rowOff>
    </xdr:from>
    <xdr:to>
      <xdr:col>12</xdr:col>
      <xdr:colOff>149582</xdr:colOff>
      <xdr:row>50</xdr:row>
      <xdr:rowOff>2687</xdr:rowOff>
    </xdr:to>
    <xdr:pic>
      <xdr:nvPicPr>
        <xdr:cNvPr id="55" name="Billede 205">
          <a:hlinkClick xmlns:r="http://schemas.openxmlformats.org/officeDocument/2006/relationships" r:id="rId67"/>
          <a:extLst>
            <a:ext uri="{FF2B5EF4-FFF2-40B4-BE49-F238E27FC236}">
              <a16:creationId xmlns:a16="http://schemas.microsoft.com/office/drawing/2014/main" id="{A389BFF3-FD5F-4EC7-956A-950A123B8E4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86844" t="-1132" r="309" b="1132"/>
        <a:stretch/>
      </xdr:blipFill>
      <xdr:spPr>
        <a:xfrm>
          <a:off x="15575760" y="12344271"/>
          <a:ext cx="648081" cy="540646"/>
        </a:xfrm>
        <a:prstGeom prst="rect">
          <a:avLst/>
        </a:prstGeom>
      </xdr:spPr>
    </xdr:pic>
    <xdr:clientData/>
  </xdr:twoCellAnchor>
  <xdr:twoCellAnchor>
    <xdr:from>
      <xdr:col>17</xdr:col>
      <xdr:colOff>1009651</xdr:colOff>
      <xdr:row>81</xdr:row>
      <xdr:rowOff>16895</xdr:rowOff>
    </xdr:from>
    <xdr:to>
      <xdr:col>18</xdr:col>
      <xdr:colOff>589900</xdr:colOff>
      <xdr:row>82</xdr:row>
      <xdr:rowOff>388107</xdr:rowOff>
    </xdr:to>
    <xdr:pic>
      <xdr:nvPicPr>
        <xdr:cNvPr id="56" name="Billede 4">
          <a:extLst>
            <a:ext uri="{FF2B5EF4-FFF2-40B4-BE49-F238E27FC236}">
              <a16:creationId xmlns:a16="http://schemas.microsoft.com/office/drawing/2014/main" id="{17F6D20E-9BD2-4CA4-AB23-B9613BB141F8}"/>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236794" y="22836074"/>
          <a:ext cx="1090642" cy="765819"/>
        </a:xfrm>
        <a:prstGeom prst="rect">
          <a:avLst/>
        </a:prstGeom>
      </xdr:spPr>
    </xdr:pic>
    <xdr:clientData/>
  </xdr:twoCellAnchor>
  <xdr:twoCellAnchor>
    <xdr:from>
      <xdr:col>17</xdr:col>
      <xdr:colOff>1033010</xdr:colOff>
      <xdr:row>92</xdr:row>
      <xdr:rowOff>9186</xdr:rowOff>
    </xdr:from>
    <xdr:to>
      <xdr:col>18</xdr:col>
      <xdr:colOff>613259</xdr:colOff>
      <xdr:row>93</xdr:row>
      <xdr:rowOff>372120</xdr:rowOff>
    </xdr:to>
    <xdr:pic>
      <xdr:nvPicPr>
        <xdr:cNvPr id="57" name="Billede 4">
          <a:extLst>
            <a:ext uri="{FF2B5EF4-FFF2-40B4-BE49-F238E27FC236}">
              <a16:creationId xmlns:a16="http://schemas.microsoft.com/office/drawing/2014/main" id="{FEC56612-7A6D-419D-853B-ADE508DE467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260153" y="27522829"/>
          <a:ext cx="1090642" cy="757541"/>
        </a:xfrm>
        <a:prstGeom prst="rect">
          <a:avLst/>
        </a:prstGeom>
      </xdr:spPr>
    </xdr:pic>
    <xdr:clientData/>
  </xdr:twoCellAnchor>
  <xdr:twoCellAnchor editAs="oneCell">
    <xdr:from>
      <xdr:col>1</xdr:col>
      <xdr:colOff>84570</xdr:colOff>
      <xdr:row>127</xdr:row>
      <xdr:rowOff>105929</xdr:rowOff>
    </xdr:from>
    <xdr:to>
      <xdr:col>2</xdr:col>
      <xdr:colOff>840126</xdr:colOff>
      <xdr:row>135</xdr:row>
      <xdr:rowOff>483758</xdr:rowOff>
    </xdr:to>
    <xdr:pic>
      <xdr:nvPicPr>
        <xdr:cNvPr id="77" name="Billede 76">
          <a:extLst>
            <a:ext uri="{FF2B5EF4-FFF2-40B4-BE49-F238E27FC236}">
              <a16:creationId xmlns:a16="http://schemas.microsoft.com/office/drawing/2014/main" id="{D0001E51-7080-46BC-802D-CC2F7DADDD0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933" t="-877" r="72389" b="877"/>
        <a:stretch/>
      </xdr:blipFill>
      <xdr:spPr>
        <a:xfrm>
          <a:off x="690706" y="41860065"/>
          <a:ext cx="3370602" cy="2715784"/>
        </a:xfrm>
        <a:prstGeom prst="rect">
          <a:avLst/>
        </a:prstGeom>
      </xdr:spPr>
    </xdr:pic>
    <xdr:clientData/>
  </xdr:twoCellAnchor>
  <xdr:twoCellAnchor>
    <xdr:from>
      <xdr:col>17</xdr:col>
      <xdr:colOff>952727</xdr:colOff>
      <xdr:row>137</xdr:row>
      <xdr:rowOff>23812</xdr:rowOff>
    </xdr:from>
    <xdr:to>
      <xdr:col>18</xdr:col>
      <xdr:colOff>532976</xdr:colOff>
      <xdr:row>138</xdr:row>
      <xdr:rowOff>327669</xdr:rowOff>
    </xdr:to>
    <xdr:pic>
      <xdr:nvPicPr>
        <xdr:cNvPr id="82" name="Billede 4">
          <a:extLst>
            <a:ext uri="{FF2B5EF4-FFF2-40B4-BE49-F238E27FC236}">
              <a16:creationId xmlns:a16="http://schemas.microsoft.com/office/drawing/2014/main" id="{CBE9B673-4ECC-46B4-9294-AC70C301F34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548" t="1561" r="72540" b="-1561"/>
        <a:stretch/>
      </xdr:blipFill>
      <xdr:spPr>
        <a:xfrm>
          <a:off x="22179870" y="45458062"/>
          <a:ext cx="1090642" cy="752893"/>
        </a:xfrm>
        <a:prstGeom prst="rect">
          <a:avLst/>
        </a:prstGeom>
      </xdr:spPr>
    </xdr:pic>
    <xdr:clientData/>
  </xdr:twoCellAnchor>
  <xdr:twoCellAnchor>
    <xdr:from>
      <xdr:col>17</xdr:col>
      <xdr:colOff>902949</xdr:colOff>
      <xdr:row>147</xdr:row>
      <xdr:rowOff>26987</xdr:rowOff>
    </xdr:from>
    <xdr:to>
      <xdr:col>18</xdr:col>
      <xdr:colOff>483198</xdr:colOff>
      <xdr:row>148</xdr:row>
      <xdr:rowOff>330843</xdr:rowOff>
    </xdr:to>
    <xdr:pic>
      <xdr:nvPicPr>
        <xdr:cNvPr id="83" name="Billede 4">
          <a:extLst>
            <a:ext uri="{FF2B5EF4-FFF2-40B4-BE49-F238E27FC236}">
              <a16:creationId xmlns:a16="http://schemas.microsoft.com/office/drawing/2014/main" id="{6E17BD8F-D626-4B8C-8C95-7641D1FDDF68}"/>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548" t="1561" r="72540" b="-1561"/>
        <a:stretch/>
      </xdr:blipFill>
      <xdr:spPr>
        <a:xfrm>
          <a:off x="22130092" y="49434523"/>
          <a:ext cx="1090642" cy="752891"/>
        </a:xfrm>
        <a:prstGeom prst="rect">
          <a:avLst/>
        </a:prstGeom>
      </xdr:spPr>
    </xdr:pic>
    <xdr:clientData/>
  </xdr:twoCellAnchor>
  <xdr:twoCellAnchor>
    <xdr:from>
      <xdr:col>17</xdr:col>
      <xdr:colOff>900784</xdr:colOff>
      <xdr:row>157</xdr:row>
      <xdr:rowOff>30234</xdr:rowOff>
    </xdr:from>
    <xdr:to>
      <xdr:col>18</xdr:col>
      <xdr:colOff>481033</xdr:colOff>
      <xdr:row>158</xdr:row>
      <xdr:rowOff>334089</xdr:rowOff>
    </xdr:to>
    <xdr:pic>
      <xdr:nvPicPr>
        <xdr:cNvPr id="84" name="Billede 4">
          <a:extLst>
            <a:ext uri="{FF2B5EF4-FFF2-40B4-BE49-F238E27FC236}">
              <a16:creationId xmlns:a16="http://schemas.microsoft.com/office/drawing/2014/main" id="{5E3B382D-053E-4E99-A637-1A21224E41A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548" t="1561" r="72540" b="-1561"/>
        <a:stretch/>
      </xdr:blipFill>
      <xdr:spPr>
        <a:xfrm>
          <a:off x="22127927" y="53764841"/>
          <a:ext cx="1090642" cy="752891"/>
        </a:xfrm>
        <a:prstGeom prst="rect">
          <a:avLst/>
        </a:prstGeom>
      </xdr:spPr>
    </xdr:pic>
    <xdr:clientData/>
  </xdr:twoCellAnchor>
  <xdr:twoCellAnchor>
    <xdr:from>
      <xdr:col>17</xdr:col>
      <xdr:colOff>882312</xdr:colOff>
      <xdr:row>167</xdr:row>
      <xdr:rowOff>11762</xdr:rowOff>
    </xdr:from>
    <xdr:to>
      <xdr:col>18</xdr:col>
      <xdr:colOff>462561</xdr:colOff>
      <xdr:row>168</xdr:row>
      <xdr:rowOff>325142</xdr:rowOff>
    </xdr:to>
    <xdr:pic>
      <xdr:nvPicPr>
        <xdr:cNvPr id="85" name="Billede 4">
          <a:extLst>
            <a:ext uri="{FF2B5EF4-FFF2-40B4-BE49-F238E27FC236}">
              <a16:creationId xmlns:a16="http://schemas.microsoft.com/office/drawing/2014/main" id="{53639380-D712-44C6-A945-3941508A7B0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548" t="1561" r="72540" b="-1561"/>
        <a:stretch/>
      </xdr:blipFill>
      <xdr:spPr>
        <a:xfrm>
          <a:off x="22109455" y="57896548"/>
          <a:ext cx="1090642" cy="762415"/>
        </a:xfrm>
        <a:prstGeom prst="rect">
          <a:avLst/>
        </a:prstGeom>
      </xdr:spPr>
    </xdr:pic>
    <xdr:clientData/>
  </xdr:twoCellAnchor>
  <xdr:twoCellAnchor editAs="oneCell">
    <xdr:from>
      <xdr:col>1</xdr:col>
      <xdr:colOff>176357</xdr:colOff>
      <xdr:row>188</xdr:row>
      <xdr:rowOff>0</xdr:rowOff>
    </xdr:from>
    <xdr:to>
      <xdr:col>2</xdr:col>
      <xdr:colOff>826200</xdr:colOff>
      <xdr:row>196</xdr:row>
      <xdr:rowOff>12696</xdr:rowOff>
    </xdr:to>
    <xdr:pic>
      <xdr:nvPicPr>
        <xdr:cNvPr id="86" name="Billede 85">
          <a:extLst>
            <a:ext uri="{FF2B5EF4-FFF2-40B4-BE49-F238E27FC236}">
              <a16:creationId xmlns:a16="http://schemas.microsoft.com/office/drawing/2014/main" id="{A1EFBA8F-47F3-4DCD-98E8-CD4A0FD62EF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333" t="-877" r="58371" b="877"/>
        <a:stretch/>
      </xdr:blipFill>
      <xdr:spPr>
        <a:xfrm>
          <a:off x="782493" y="66034227"/>
          <a:ext cx="3261714" cy="2728479"/>
        </a:xfrm>
        <a:prstGeom prst="rect">
          <a:avLst/>
        </a:prstGeom>
      </xdr:spPr>
    </xdr:pic>
    <xdr:clientData/>
  </xdr:twoCellAnchor>
  <xdr:twoCellAnchor>
    <xdr:from>
      <xdr:col>17</xdr:col>
      <xdr:colOff>1045275</xdr:colOff>
      <xdr:row>197</xdr:row>
      <xdr:rowOff>39585</xdr:rowOff>
    </xdr:from>
    <xdr:to>
      <xdr:col>18</xdr:col>
      <xdr:colOff>578428</xdr:colOff>
      <xdr:row>198</xdr:row>
      <xdr:rowOff>323813</xdr:rowOff>
    </xdr:to>
    <xdr:pic>
      <xdr:nvPicPr>
        <xdr:cNvPr id="87" name="Billede 4">
          <a:extLst>
            <a:ext uri="{FF2B5EF4-FFF2-40B4-BE49-F238E27FC236}">
              <a16:creationId xmlns:a16="http://schemas.microsoft.com/office/drawing/2014/main" id="{B72BDC9F-033C-4BC3-81DB-368326EF5ABF}"/>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000" t="1561" r="58522" b="-1561"/>
        <a:stretch/>
      </xdr:blipFill>
      <xdr:spPr>
        <a:xfrm>
          <a:off x="22272418" y="69680942"/>
          <a:ext cx="1043546" cy="760478"/>
        </a:xfrm>
        <a:prstGeom prst="rect">
          <a:avLst/>
        </a:prstGeom>
      </xdr:spPr>
    </xdr:pic>
    <xdr:clientData/>
  </xdr:twoCellAnchor>
  <xdr:twoCellAnchor>
    <xdr:from>
      <xdr:col>17</xdr:col>
      <xdr:colOff>1033699</xdr:colOff>
      <xdr:row>207</xdr:row>
      <xdr:rowOff>27999</xdr:rowOff>
    </xdr:from>
    <xdr:to>
      <xdr:col>18</xdr:col>
      <xdr:colOff>557327</xdr:colOff>
      <xdr:row>208</xdr:row>
      <xdr:rowOff>312227</xdr:rowOff>
    </xdr:to>
    <xdr:pic>
      <xdr:nvPicPr>
        <xdr:cNvPr id="92" name="Billede 4">
          <a:extLst>
            <a:ext uri="{FF2B5EF4-FFF2-40B4-BE49-F238E27FC236}">
              <a16:creationId xmlns:a16="http://schemas.microsoft.com/office/drawing/2014/main" id="{322194D9-14EA-43DB-B04C-4C4B42B1BA8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000" t="1561" r="58522" b="-1561"/>
        <a:stretch/>
      </xdr:blipFill>
      <xdr:spPr>
        <a:xfrm>
          <a:off x="22260842" y="73846749"/>
          <a:ext cx="1034021" cy="760478"/>
        </a:xfrm>
        <a:prstGeom prst="rect">
          <a:avLst/>
        </a:prstGeom>
      </xdr:spPr>
    </xdr:pic>
    <xdr:clientData/>
  </xdr:twoCellAnchor>
  <xdr:twoCellAnchor>
    <xdr:from>
      <xdr:col>17</xdr:col>
      <xdr:colOff>1095786</xdr:colOff>
      <xdr:row>217</xdr:row>
      <xdr:rowOff>19051</xdr:rowOff>
    </xdr:from>
    <xdr:to>
      <xdr:col>18</xdr:col>
      <xdr:colOff>628939</xdr:colOff>
      <xdr:row>218</xdr:row>
      <xdr:rowOff>303279</xdr:rowOff>
    </xdr:to>
    <xdr:pic>
      <xdr:nvPicPr>
        <xdr:cNvPr id="93" name="Billede 4">
          <a:extLst>
            <a:ext uri="{FF2B5EF4-FFF2-40B4-BE49-F238E27FC236}">
              <a16:creationId xmlns:a16="http://schemas.microsoft.com/office/drawing/2014/main" id="{77BEFDBC-2440-4278-BC7F-1D37D0247A53}"/>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000" t="1561" r="58522" b="-1561"/>
        <a:stretch/>
      </xdr:blipFill>
      <xdr:spPr>
        <a:xfrm>
          <a:off x="22322929" y="78015194"/>
          <a:ext cx="1043546" cy="760478"/>
        </a:xfrm>
        <a:prstGeom prst="rect">
          <a:avLst/>
        </a:prstGeom>
      </xdr:spPr>
    </xdr:pic>
    <xdr:clientData/>
  </xdr:twoCellAnchor>
  <xdr:twoCellAnchor>
    <xdr:from>
      <xdr:col>17</xdr:col>
      <xdr:colOff>1023751</xdr:colOff>
      <xdr:row>227</xdr:row>
      <xdr:rowOff>20535</xdr:rowOff>
    </xdr:from>
    <xdr:to>
      <xdr:col>18</xdr:col>
      <xdr:colOff>556904</xdr:colOff>
      <xdr:row>228</xdr:row>
      <xdr:rowOff>304763</xdr:rowOff>
    </xdr:to>
    <xdr:pic>
      <xdr:nvPicPr>
        <xdr:cNvPr id="94" name="Billede 4">
          <a:extLst>
            <a:ext uri="{FF2B5EF4-FFF2-40B4-BE49-F238E27FC236}">
              <a16:creationId xmlns:a16="http://schemas.microsoft.com/office/drawing/2014/main" id="{8BB77DBE-95E0-46B5-9E34-74A7DBC63686}"/>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000" t="1561" r="58522" b="-1561"/>
        <a:stretch/>
      </xdr:blipFill>
      <xdr:spPr>
        <a:xfrm>
          <a:off x="22250894" y="82194071"/>
          <a:ext cx="1043546" cy="760478"/>
        </a:xfrm>
        <a:prstGeom prst="rect">
          <a:avLst/>
        </a:prstGeom>
      </xdr:spPr>
    </xdr:pic>
    <xdr:clientData/>
  </xdr:twoCellAnchor>
  <xdr:twoCellAnchor>
    <xdr:from>
      <xdr:col>17</xdr:col>
      <xdr:colOff>1013401</xdr:colOff>
      <xdr:row>237</xdr:row>
      <xdr:rowOff>20782</xdr:rowOff>
    </xdr:from>
    <xdr:to>
      <xdr:col>18</xdr:col>
      <xdr:colOff>546554</xdr:colOff>
      <xdr:row>238</xdr:row>
      <xdr:rowOff>305010</xdr:rowOff>
    </xdr:to>
    <xdr:pic>
      <xdr:nvPicPr>
        <xdr:cNvPr id="95" name="Billede 4">
          <a:extLst>
            <a:ext uri="{FF2B5EF4-FFF2-40B4-BE49-F238E27FC236}">
              <a16:creationId xmlns:a16="http://schemas.microsoft.com/office/drawing/2014/main" id="{4C3DACBA-B71C-483F-AA2D-7557D12AF8FA}"/>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000" t="1561" r="58522" b="-1561"/>
        <a:stretch/>
      </xdr:blipFill>
      <xdr:spPr>
        <a:xfrm>
          <a:off x="22240544" y="86371711"/>
          <a:ext cx="1043546" cy="760478"/>
        </a:xfrm>
        <a:prstGeom prst="rect">
          <a:avLst/>
        </a:prstGeom>
      </xdr:spPr>
    </xdr:pic>
    <xdr:clientData/>
  </xdr:twoCellAnchor>
  <xdr:twoCellAnchor editAs="oneCell">
    <xdr:from>
      <xdr:col>1</xdr:col>
      <xdr:colOff>236969</xdr:colOff>
      <xdr:row>272</xdr:row>
      <xdr:rowOff>488084</xdr:rowOff>
    </xdr:from>
    <xdr:to>
      <xdr:col>2</xdr:col>
      <xdr:colOff>674954</xdr:colOff>
      <xdr:row>280</xdr:row>
      <xdr:rowOff>640771</xdr:rowOff>
    </xdr:to>
    <xdr:pic>
      <xdr:nvPicPr>
        <xdr:cNvPr id="96" name="Billede 95">
          <a:extLst>
            <a:ext uri="{FF2B5EF4-FFF2-40B4-BE49-F238E27FC236}">
              <a16:creationId xmlns:a16="http://schemas.microsoft.com/office/drawing/2014/main" id="{CC8A34C9-3D81-4C9E-939B-F69E796C958F}"/>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955" t="-877" r="44596" b="877"/>
        <a:stretch/>
      </xdr:blipFill>
      <xdr:spPr>
        <a:xfrm>
          <a:off x="843105" y="98474357"/>
          <a:ext cx="3056206" cy="2712604"/>
        </a:xfrm>
        <a:prstGeom prst="rect">
          <a:avLst/>
        </a:prstGeom>
      </xdr:spPr>
    </xdr:pic>
    <xdr:clientData/>
  </xdr:twoCellAnchor>
  <xdr:twoCellAnchor>
    <xdr:from>
      <xdr:col>17</xdr:col>
      <xdr:colOff>912750</xdr:colOff>
      <xdr:row>282</xdr:row>
      <xdr:rowOff>25977</xdr:rowOff>
    </xdr:from>
    <xdr:to>
      <xdr:col>18</xdr:col>
      <xdr:colOff>557892</xdr:colOff>
      <xdr:row>283</xdr:row>
      <xdr:rowOff>336182</xdr:rowOff>
    </xdr:to>
    <xdr:pic>
      <xdr:nvPicPr>
        <xdr:cNvPr id="97" name="Billede 4">
          <a:extLst>
            <a:ext uri="{FF2B5EF4-FFF2-40B4-BE49-F238E27FC236}">
              <a16:creationId xmlns:a16="http://schemas.microsoft.com/office/drawing/2014/main" id="{CE0F0E38-05E1-4720-BC5A-5FD6A14408E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590" t="1561" r="43932" b="-1561"/>
        <a:stretch/>
      </xdr:blipFill>
      <xdr:spPr>
        <a:xfrm>
          <a:off x="22139893" y="102215620"/>
          <a:ext cx="1155535" cy="759241"/>
        </a:xfrm>
        <a:prstGeom prst="rect">
          <a:avLst/>
        </a:prstGeom>
      </xdr:spPr>
    </xdr:pic>
    <xdr:clientData/>
  </xdr:twoCellAnchor>
  <xdr:twoCellAnchor>
    <xdr:from>
      <xdr:col>17</xdr:col>
      <xdr:colOff>872341</xdr:colOff>
      <xdr:row>292</xdr:row>
      <xdr:rowOff>28864</xdr:rowOff>
    </xdr:from>
    <xdr:to>
      <xdr:col>18</xdr:col>
      <xdr:colOff>511155</xdr:colOff>
      <xdr:row>293</xdr:row>
      <xdr:rowOff>332719</xdr:rowOff>
    </xdr:to>
    <xdr:pic>
      <xdr:nvPicPr>
        <xdr:cNvPr id="98" name="Billede 4">
          <a:extLst>
            <a:ext uri="{FF2B5EF4-FFF2-40B4-BE49-F238E27FC236}">
              <a16:creationId xmlns:a16="http://schemas.microsoft.com/office/drawing/2014/main" id="{11E4D1A3-1B64-49F7-9900-46F87C6BD4F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590" t="1561" r="43932" b="-1561"/>
        <a:stretch/>
      </xdr:blipFill>
      <xdr:spPr>
        <a:xfrm>
          <a:off x="22099484" y="106219007"/>
          <a:ext cx="1149207" cy="752891"/>
        </a:xfrm>
        <a:prstGeom prst="rect">
          <a:avLst/>
        </a:prstGeom>
      </xdr:spPr>
    </xdr:pic>
    <xdr:clientData/>
  </xdr:twoCellAnchor>
  <xdr:twoCellAnchor>
    <xdr:from>
      <xdr:col>17</xdr:col>
      <xdr:colOff>877538</xdr:colOff>
      <xdr:row>301</xdr:row>
      <xdr:rowOff>19050</xdr:rowOff>
    </xdr:from>
    <xdr:to>
      <xdr:col>18</xdr:col>
      <xdr:colOff>509987</xdr:colOff>
      <xdr:row>302</xdr:row>
      <xdr:rowOff>335605</xdr:rowOff>
    </xdr:to>
    <xdr:pic>
      <xdr:nvPicPr>
        <xdr:cNvPr id="99" name="Billede 4">
          <a:extLst>
            <a:ext uri="{FF2B5EF4-FFF2-40B4-BE49-F238E27FC236}">
              <a16:creationId xmlns:a16="http://schemas.microsoft.com/office/drawing/2014/main" id="{BC24BC99-94E7-4CAC-88E3-BBA99A88AE2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590" t="1561" r="43932" b="-1561"/>
        <a:stretch/>
      </xdr:blipFill>
      <xdr:spPr>
        <a:xfrm>
          <a:off x="22104681" y="109842300"/>
          <a:ext cx="1142842" cy="765591"/>
        </a:xfrm>
        <a:prstGeom prst="rect">
          <a:avLst/>
        </a:prstGeom>
      </xdr:spPr>
    </xdr:pic>
    <xdr:clientData/>
  </xdr:twoCellAnchor>
  <xdr:twoCellAnchor>
    <xdr:from>
      <xdr:col>17</xdr:col>
      <xdr:colOff>865414</xdr:colOff>
      <xdr:row>310</xdr:row>
      <xdr:rowOff>6928</xdr:rowOff>
    </xdr:from>
    <xdr:to>
      <xdr:col>18</xdr:col>
      <xdr:colOff>510556</xdr:colOff>
      <xdr:row>311</xdr:row>
      <xdr:rowOff>317133</xdr:rowOff>
    </xdr:to>
    <xdr:pic>
      <xdr:nvPicPr>
        <xdr:cNvPr id="120" name="Billede 4">
          <a:extLst>
            <a:ext uri="{FF2B5EF4-FFF2-40B4-BE49-F238E27FC236}">
              <a16:creationId xmlns:a16="http://schemas.microsoft.com/office/drawing/2014/main" id="{F1133B79-D01D-4175-9C96-6DF45AF2A4C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590" t="1561" r="43932" b="-1561"/>
        <a:stretch/>
      </xdr:blipFill>
      <xdr:spPr>
        <a:xfrm>
          <a:off x="22092557" y="113395249"/>
          <a:ext cx="1155535" cy="759241"/>
        </a:xfrm>
        <a:prstGeom prst="rect">
          <a:avLst/>
        </a:prstGeom>
      </xdr:spPr>
    </xdr:pic>
    <xdr:clientData/>
  </xdr:twoCellAnchor>
  <xdr:twoCellAnchor>
    <xdr:from>
      <xdr:col>17</xdr:col>
      <xdr:colOff>855600</xdr:colOff>
      <xdr:row>319</xdr:row>
      <xdr:rowOff>46759</xdr:rowOff>
    </xdr:from>
    <xdr:to>
      <xdr:col>18</xdr:col>
      <xdr:colOff>500742</xdr:colOff>
      <xdr:row>320</xdr:row>
      <xdr:rowOff>350614</xdr:rowOff>
    </xdr:to>
    <xdr:pic>
      <xdr:nvPicPr>
        <xdr:cNvPr id="131" name="Billede 4">
          <a:extLst>
            <a:ext uri="{FF2B5EF4-FFF2-40B4-BE49-F238E27FC236}">
              <a16:creationId xmlns:a16="http://schemas.microsoft.com/office/drawing/2014/main" id="{5C85D5E9-C152-4DBF-A798-6A9E01963177}"/>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590" t="1561" r="43932" b="-1561"/>
        <a:stretch/>
      </xdr:blipFill>
      <xdr:spPr>
        <a:xfrm>
          <a:off x="22082743" y="117027366"/>
          <a:ext cx="1155535" cy="752891"/>
        </a:xfrm>
        <a:prstGeom prst="rect">
          <a:avLst/>
        </a:prstGeom>
      </xdr:spPr>
    </xdr:pic>
    <xdr:clientData/>
  </xdr:twoCellAnchor>
  <xdr:twoCellAnchor editAs="oneCell">
    <xdr:from>
      <xdr:col>1</xdr:col>
      <xdr:colOff>260927</xdr:colOff>
      <xdr:row>330</xdr:row>
      <xdr:rowOff>28864</xdr:rowOff>
    </xdr:from>
    <xdr:to>
      <xdr:col>2</xdr:col>
      <xdr:colOff>753751</xdr:colOff>
      <xdr:row>338</xdr:row>
      <xdr:rowOff>30597</xdr:rowOff>
    </xdr:to>
    <xdr:pic>
      <xdr:nvPicPr>
        <xdr:cNvPr id="132" name="Billede 131">
          <a:extLst>
            <a:ext uri="{FF2B5EF4-FFF2-40B4-BE49-F238E27FC236}">
              <a16:creationId xmlns:a16="http://schemas.microsoft.com/office/drawing/2014/main" id="{BC6470C2-1DC3-4AF8-81BD-C3893ECB4DF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7436" t="-877" r="29909" b="877"/>
        <a:stretch/>
      </xdr:blipFill>
      <xdr:spPr>
        <a:xfrm>
          <a:off x="867063" y="120424864"/>
          <a:ext cx="3111045" cy="2717513"/>
        </a:xfrm>
        <a:prstGeom prst="rect">
          <a:avLst/>
        </a:prstGeom>
      </xdr:spPr>
    </xdr:pic>
    <xdr:clientData/>
  </xdr:twoCellAnchor>
  <xdr:twoCellAnchor>
    <xdr:from>
      <xdr:col>17</xdr:col>
      <xdr:colOff>901039</xdr:colOff>
      <xdr:row>339</xdr:row>
      <xdr:rowOff>15092</xdr:rowOff>
    </xdr:from>
    <xdr:to>
      <xdr:col>18</xdr:col>
      <xdr:colOff>522561</xdr:colOff>
      <xdr:row>340</xdr:row>
      <xdr:rowOff>402857</xdr:rowOff>
    </xdr:to>
    <xdr:pic>
      <xdr:nvPicPr>
        <xdr:cNvPr id="134" name="Billede 4">
          <a:extLst>
            <a:ext uri="{FF2B5EF4-FFF2-40B4-BE49-F238E27FC236}">
              <a16:creationId xmlns:a16="http://schemas.microsoft.com/office/drawing/2014/main" id="{AA2DD7F9-88FC-4605-8433-49884E0F7FB5}"/>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128182" y="124248306"/>
          <a:ext cx="1131915" cy="755158"/>
        </a:xfrm>
        <a:prstGeom prst="rect">
          <a:avLst/>
        </a:prstGeom>
      </xdr:spPr>
    </xdr:pic>
    <xdr:clientData/>
  </xdr:twoCellAnchor>
  <xdr:twoCellAnchor>
    <xdr:from>
      <xdr:col>17</xdr:col>
      <xdr:colOff>853868</xdr:colOff>
      <xdr:row>349</xdr:row>
      <xdr:rowOff>16452</xdr:rowOff>
    </xdr:from>
    <xdr:to>
      <xdr:col>18</xdr:col>
      <xdr:colOff>475390</xdr:colOff>
      <xdr:row>350</xdr:row>
      <xdr:rowOff>402857</xdr:rowOff>
    </xdr:to>
    <xdr:pic>
      <xdr:nvPicPr>
        <xdr:cNvPr id="135" name="Billede 4">
          <a:extLst>
            <a:ext uri="{FF2B5EF4-FFF2-40B4-BE49-F238E27FC236}">
              <a16:creationId xmlns:a16="http://schemas.microsoft.com/office/drawing/2014/main" id="{F45D9659-96ED-46E4-8284-0C914D579D08}"/>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081011" y="128359023"/>
          <a:ext cx="1131915" cy="753798"/>
        </a:xfrm>
        <a:prstGeom prst="rect">
          <a:avLst/>
        </a:prstGeom>
      </xdr:spPr>
    </xdr:pic>
    <xdr:clientData/>
  </xdr:twoCellAnchor>
  <xdr:twoCellAnchor>
    <xdr:from>
      <xdr:col>17</xdr:col>
      <xdr:colOff>853868</xdr:colOff>
      <xdr:row>359</xdr:row>
      <xdr:rowOff>16452</xdr:rowOff>
    </xdr:from>
    <xdr:to>
      <xdr:col>18</xdr:col>
      <xdr:colOff>475390</xdr:colOff>
      <xdr:row>360</xdr:row>
      <xdr:rowOff>402857</xdr:rowOff>
    </xdr:to>
    <xdr:pic>
      <xdr:nvPicPr>
        <xdr:cNvPr id="137" name="Billede 4">
          <a:extLst>
            <a:ext uri="{FF2B5EF4-FFF2-40B4-BE49-F238E27FC236}">
              <a16:creationId xmlns:a16="http://schemas.microsoft.com/office/drawing/2014/main" id="{B285F6F5-5A3E-4302-A7C1-9CF61D82BF6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081011" y="132509202"/>
          <a:ext cx="1131915" cy="753798"/>
        </a:xfrm>
        <a:prstGeom prst="rect">
          <a:avLst/>
        </a:prstGeom>
      </xdr:spPr>
    </xdr:pic>
    <xdr:clientData/>
  </xdr:twoCellAnchor>
  <xdr:twoCellAnchor>
    <xdr:from>
      <xdr:col>17</xdr:col>
      <xdr:colOff>834818</xdr:colOff>
      <xdr:row>368</xdr:row>
      <xdr:rowOff>226002</xdr:rowOff>
    </xdr:from>
    <xdr:to>
      <xdr:col>18</xdr:col>
      <xdr:colOff>456340</xdr:colOff>
      <xdr:row>370</xdr:row>
      <xdr:rowOff>374282</xdr:rowOff>
    </xdr:to>
    <xdr:pic>
      <xdr:nvPicPr>
        <xdr:cNvPr id="138" name="Billede 4">
          <a:extLst>
            <a:ext uri="{FF2B5EF4-FFF2-40B4-BE49-F238E27FC236}">
              <a16:creationId xmlns:a16="http://schemas.microsoft.com/office/drawing/2014/main" id="{CF5CE980-6E44-4735-977D-A23AA55D3F7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061961" y="136624002"/>
          <a:ext cx="1131915" cy="760601"/>
        </a:xfrm>
        <a:prstGeom prst="rect">
          <a:avLst/>
        </a:prstGeom>
      </xdr:spPr>
    </xdr:pic>
    <xdr:clientData/>
  </xdr:twoCellAnchor>
  <xdr:twoCellAnchor>
    <xdr:from>
      <xdr:col>17</xdr:col>
      <xdr:colOff>857043</xdr:colOff>
      <xdr:row>379</xdr:row>
      <xdr:rowOff>25977</xdr:rowOff>
    </xdr:from>
    <xdr:to>
      <xdr:col>18</xdr:col>
      <xdr:colOff>475398</xdr:colOff>
      <xdr:row>380</xdr:row>
      <xdr:rowOff>412382</xdr:rowOff>
    </xdr:to>
    <xdr:pic>
      <xdr:nvPicPr>
        <xdr:cNvPr id="139" name="Billede 4">
          <a:extLst>
            <a:ext uri="{FF2B5EF4-FFF2-40B4-BE49-F238E27FC236}">
              <a16:creationId xmlns:a16="http://schemas.microsoft.com/office/drawing/2014/main" id="{5A4A337D-FDE9-4C96-8BBB-EDC251E2564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084186" y="140791870"/>
          <a:ext cx="1128748" cy="753798"/>
        </a:xfrm>
        <a:prstGeom prst="rect">
          <a:avLst/>
        </a:prstGeom>
      </xdr:spPr>
    </xdr:pic>
    <xdr:clientData/>
  </xdr:twoCellAnchor>
  <xdr:twoCellAnchor editAs="oneCell">
    <xdr:from>
      <xdr:col>1</xdr:col>
      <xdr:colOff>247939</xdr:colOff>
      <xdr:row>389</xdr:row>
      <xdr:rowOff>447675</xdr:rowOff>
    </xdr:from>
    <xdr:to>
      <xdr:col>2</xdr:col>
      <xdr:colOff>759814</xdr:colOff>
      <xdr:row>397</xdr:row>
      <xdr:rowOff>619418</xdr:rowOff>
    </xdr:to>
    <xdr:pic>
      <xdr:nvPicPr>
        <xdr:cNvPr id="140" name="Billede 139">
          <a:extLst>
            <a:ext uri="{FF2B5EF4-FFF2-40B4-BE49-F238E27FC236}">
              <a16:creationId xmlns:a16="http://schemas.microsoft.com/office/drawing/2014/main" id="{3C471EDC-CBC1-46D4-A9C8-3CAF34AE9CE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2196" t="-1573" r="15151" b="1573"/>
        <a:stretch/>
      </xdr:blipFill>
      <xdr:spPr>
        <a:xfrm>
          <a:off x="854075" y="144413720"/>
          <a:ext cx="3126921" cy="2714338"/>
        </a:xfrm>
        <a:prstGeom prst="rect">
          <a:avLst/>
        </a:prstGeom>
      </xdr:spPr>
    </xdr:pic>
    <xdr:clientData/>
  </xdr:twoCellAnchor>
  <xdr:twoCellAnchor>
    <xdr:from>
      <xdr:col>17</xdr:col>
      <xdr:colOff>981073</xdr:colOff>
      <xdr:row>399</xdr:row>
      <xdr:rowOff>6350</xdr:rowOff>
    </xdr:from>
    <xdr:to>
      <xdr:col>18</xdr:col>
      <xdr:colOff>647632</xdr:colOff>
      <xdr:row>400</xdr:row>
      <xdr:rowOff>397291</xdr:rowOff>
    </xdr:to>
    <xdr:pic>
      <xdr:nvPicPr>
        <xdr:cNvPr id="141" name="Billede 4">
          <a:extLst>
            <a:ext uri="{FF2B5EF4-FFF2-40B4-BE49-F238E27FC236}">
              <a16:creationId xmlns:a16="http://schemas.microsoft.com/office/drawing/2014/main" id="{18EBC49B-0C90-4368-9DF0-1654EDA5D3A3}"/>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208216" y="148296993"/>
          <a:ext cx="1176952" cy="758334"/>
        </a:xfrm>
        <a:prstGeom prst="rect">
          <a:avLst/>
        </a:prstGeom>
      </xdr:spPr>
    </xdr:pic>
    <xdr:clientData/>
  </xdr:twoCellAnchor>
  <xdr:twoCellAnchor>
    <xdr:from>
      <xdr:col>17</xdr:col>
      <xdr:colOff>1015093</xdr:colOff>
      <xdr:row>409</xdr:row>
      <xdr:rowOff>20410</xdr:rowOff>
    </xdr:from>
    <xdr:to>
      <xdr:col>18</xdr:col>
      <xdr:colOff>681667</xdr:colOff>
      <xdr:row>410</xdr:row>
      <xdr:rowOff>411351</xdr:rowOff>
    </xdr:to>
    <xdr:pic>
      <xdr:nvPicPr>
        <xdr:cNvPr id="142" name="Billede 4">
          <a:extLst>
            <a:ext uri="{FF2B5EF4-FFF2-40B4-BE49-F238E27FC236}">
              <a16:creationId xmlns:a16="http://schemas.microsoft.com/office/drawing/2014/main" id="{FF1FF1EB-3075-460B-89CD-8F95A53F0FA4}"/>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242236" y="152434017"/>
          <a:ext cx="1176967" cy="758334"/>
        </a:xfrm>
        <a:prstGeom prst="rect">
          <a:avLst/>
        </a:prstGeom>
      </xdr:spPr>
    </xdr:pic>
    <xdr:clientData/>
  </xdr:twoCellAnchor>
  <xdr:twoCellAnchor>
    <xdr:from>
      <xdr:col>17</xdr:col>
      <xdr:colOff>996043</xdr:colOff>
      <xdr:row>419</xdr:row>
      <xdr:rowOff>26307</xdr:rowOff>
    </xdr:from>
    <xdr:to>
      <xdr:col>18</xdr:col>
      <xdr:colOff>662617</xdr:colOff>
      <xdr:row>420</xdr:row>
      <xdr:rowOff>412712</xdr:rowOff>
    </xdr:to>
    <xdr:pic>
      <xdr:nvPicPr>
        <xdr:cNvPr id="146" name="Billede 4">
          <a:extLst>
            <a:ext uri="{FF2B5EF4-FFF2-40B4-BE49-F238E27FC236}">
              <a16:creationId xmlns:a16="http://schemas.microsoft.com/office/drawing/2014/main" id="{EE334C11-475F-4C1E-8FA5-B251692C910F}"/>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223186" y="156562878"/>
          <a:ext cx="1176967" cy="753798"/>
        </a:xfrm>
        <a:prstGeom prst="rect">
          <a:avLst/>
        </a:prstGeom>
      </xdr:spPr>
    </xdr:pic>
    <xdr:clientData/>
  </xdr:twoCellAnchor>
  <xdr:twoCellAnchor>
    <xdr:from>
      <xdr:col>17</xdr:col>
      <xdr:colOff>929367</xdr:colOff>
      <xdr:row>429</xdr:row>
      <xdr:rowOff>2720</xdr:rowOff>
    </xdr:from>
    <xdr:to>
      <xdr:col>18</xdr:col>
      <xdr:colOff>605451</xdr:colOff>
      <xdr:row>430</xdr:row>
      <xdr:rowOff>392300</xdr:rowOff>
    </xdr:to>
    <xdr:pic>
      <xdr:nvPicPr>
        <xdr:cNvPr id="147" name="Billede 4">
          <a:extLst>
            <a:ext uri="{FF2B5EF4-FFF2-40B4-BE49-F238E27FC236}">
              <a16:creationId xmlns:a16="http://schemas.microsoft.com/office/drawing/2014/main" id="{A5757FD8-798D-4C42-A436-083BB4A6C14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156510" y="160662256"/>
          <a:ext cx="1186477" cy="756973"/>
        </a:xfrm>
        <a:prstGeom prst="rect">
          <a:avLst/>
        </a:prstGeom>
      </xdr:spPr>
    </xdr:pic>
    <xdr:clientData/>
  </xdr:twoCellAnchor>
  <xdr:twoCellAnchor>
    <xdr:from>
      <xdr:col>17</xdr:col>
      <xdr:colOff>929368</xdr:colOff>
      <xdr:row>438</xdr:row>
      <xdr:rowOff>199570</xdr:rowOff>
    </xdr:from>
    <xdr:to>
      <xdr:col>18</xdr:col>
      <xdr:colOff>595942</xdr:colOff>
      <xdr:row>440</xdr:row>
      <xdr:rowOff>382775</xdr:rowOff>
    </xdr:to>
    <xdr:pic>
      <xdr:nvPicPr>
        <xdr:cNvPr id="148" name="Billede 4">
          <a:extLst>
            <a:ext uri="{FF2B5EF4-FFF2-40B4-BE49-F238E27FC236}">
              <a16:creationId xmlns:a16="http://schemas.microsoft.com/office/drawing/2014/main" id="{C77E4969-77DC-4AED-A7CA-5D29F95CD1C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156511" y="164764356"/>
          <a:ext cx="1176967" cy="768312"/>
        </a:xfrm>
        <a:prstGeom prst="rect">
          <a:avLst/>
        </a:prstGeom>
      </xdr:spPr>
    </xdr:pic>
    <xdr:clientData/>
  </xdr:twoCellAnchor>
  <xdr:twoCellAnchor>
    <xdr:from>
      <xdr:col>17</xdr:col>
      <xdr:colOff>959417</xdr:colOff>
      <xdr:row>102</xdr:row>
      <xdr:rowOff>225425</xdr:rowOff>
    </xdr:from>
    <xdr:to>
      <xdr:col>18</xdr:col>
      <xdr:colOff>539666</xdr:colOff>
      <xdr:row>104</xdr:row>
      <xdr:rowOff>362140</xdr:rowOff>
    </xdr:to>
    <xdr:pic>
      <xdr:nvPicPr>
        <xdr:cNvPr id="14" name="Billede 4">
          <a:extLst>
            <a:ext uri="{FF2B5EF4-FFF2-40B4-BE49-F238E27FC236}">
              <a16:creationId xmlns:a16="http://schemas.microsoft.com/office/drawing/2014/main" id="{4890FF64-0601-4AF9-8E58-8A381538499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186560" y="32188604"/>
          <a:ext cx="1090642" cy="776250"/>
        </a:xfrm>
        <a:prstGeom prst="rect">
          <a:avLst/>
        </a:prstGeom>
      </xdr:spPr>
    </xdr:pic>
    <xdr:clientData/>
  </xdr:twoCellAnchor>
  <xdr:twoCellAnchor>
    <xdr:from>
      <xdr:col>17</xdr:col>
      <xdr:colOff>921316</xdr:colOff>
      <xdr:row>114</xdr:row>
      <xdr:rowOff>27214</xdr:rowOff>
    </xdr:from>
    <xdr:to>
      <xdr:col>18</xdr:col>
      <xdr:colOff>500290</xdr:colOff>
      <xdr:row>115</xdr:row>
      <xdr:rowOff>359759</xdr:rowOff>
    </xdr:to>
    <xdr:pic>
      <xdr:nvPicPr>
        <xdr:cNvPr id="62" name="Billede 4">
          <a:extLst>
            <a:ext uri="{FF2B5EF4-FFF2-40B4-BE49-F238E27FC236}">
              <a16:creationId xmlns:a16="http://schemas.microsoft.com/office/drawing/2014/main" id="{2DC5D5B2-5BA7-48D8-A0F4-7761BD4B8007}"/>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148459" y="36929785"/>
          <a:ext cx="1089367" cy="727153"/>
        </a:xfrm>
        <a:prstGeom prst="rect">
          <a:avLst/>
        </a:prstGeom>
      </xdr:spPr>
    </xdr:pic>
    <xdr:clientData/>
  </xdr:twoCellAnchor>
  <xdr:twoCellAnchor>
    <xdr:from>
      <xdr:col>17</xdr:col>
      <xdr:colOff>842481</xdr:colOff>
      <xdr:row>177</xdr:row>
      <xdr:rowOff>31004</xdr:rowOff>
    </xdr:from>
    <xdr:to>
      <xdr:col>18</xdr:col>
      <xdr:colOff>422730</xdr:colOff>
      <xdr:row>178</xdr:row>
      <xdr:rowOff>344384</xdr:rowOff>
    </xdr:to>
    <xdr:pic>
      <xdr:nvPicPr>
        <xdr:cNvPr id="104" name="Billede 4">
          <a:extLst>
            <a:ext uri="{FF2B5EF4-FFF2-40B4-BE49-F238E27FC236}">
              <a16:creationId xmlns:a16="http://schemas.microsoft.com/office/drawing/2014/main" id="{64DF252C-F401-4019-8200-5CBFB240F43A}"/>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548" t="1561" r="72540" b="-1561"/>
        <a:stretch/>
      </xdr:blipFill>
      <xdr:spPr>
        <a:xfrm>
          <a:off x="22069624" y="62065968"/>
          <a:ext cx="1090642" cy="762416"/>
        </a:xfrm>
        <a:prstGeom prst="rect">
          <a:avLst/>
        </a:prstGeom>
      </xdr:spPr>
    </xdr:pic>
    <xdr:clientData/>
  </xdr:twoCellAnchor>
  <xdr:twoCellAnchor>
    <xdr:from>
      <xdr:col>93</xdr:col>
      <xdr:colOff>9526</xdr:colOff>
      <xdr:row>68</xdr:row>
      <xdr:rowOff>102507</xdr:rowOff>
    </xdr:from>
    <xdr:to>
      <xdr:col>95</xdr:col>
      <xdr:colOff>1</xdr:colOff>
      <xdr:row>76</xdr:row>
      <xdr:rowOff>133351</xdr:rowOff>
    </xdr:to>
    <xdr:sp macro="" textlink="">
      <xdr:nvSpPr>
        <xdr:cNvPr id="20" name="Rektangel: øverste hjørner afrundet 105">
          <a:extLst>
            <a:ext uri="{FF2B5EF4-FFF2-40B4-BE49-F238E27FC236}">
              <a16:creationId xmlns:a16="http://schemas.microsoft.com/office/drawing/2014/main" id="{C4374DB6-F96C-9EE6-0A63-37AA5B48E01A}"/>
            </a:ext>
          </a:extLst>
        </xdr:cNvPr>
        <xdr:cNvSpPr/>
      </xdr:nvSpPr>
      <xdr:spPr>
        <a:xfrm>
          <a:off x="24584026" y="14580507"/>
          <a:ext cx="3927475" cy="2697844"/>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7</xdr:col>
      <xdr:colOff>30389</xdr:colOff>
      <xdr:row>62</xdr:row>
      <xdr:rowOff>296185</xdr:rowOff>
    </xdr:from>
    <xdr:to>
      <xdr:col>10</xdr:col>
      <xdr:colOff>867682</xdr:colOff>
      <xdr:row>70</xdr:row>
      <xdr:rowOff>11546</xdr:rowOff>
    </xdr:to>
    <xdr:sp macro="" textlink="">
      <xdr:nvSpPr>
        <xdr:cNvPr id="2" name="Rektangel: øverste hjørner afrundet 112">
          <a:extLst>
            <a:ext uri="{FF2B5EF4-FFF2-40B4-BE49-F238E27FC236}">
              <a16:creationId xmlns:a16="http://schemas.microsoft.com/office/drawing/2014/main" id="{1131FDB0-8CAA-42FD-9EA8-DC13721101EA}"/>
            </a:ext>
          </a:extLst>
        </xdr:cNvPr>
        <xdr:cNvSpPr/>
      </xdr:nvSpPr>
      <xdr:spPr>
        <a:xfrm>
          <a:off x="9578480" y="15617003"/>
          <a:ext cx="4982111" cy="2289998"/>
        </a:xfrm>
        <a:prstGeom prst="round2SameRect">
          <a:avLst/>
        </a:prstGeom>
        <a:noFill/>
        <a:ln>
          <a:solidFill>
            <a:schemeClr val="tx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13</xdr:col>
      <xdr:colOff>7256</xdr:colOff>
      <xdr:row>61</xdr:row>
      <xdr:rowOff>136072</xdr:rowOff>
    </xdr:from>
    <xdr:to>
      <xdr:col>17</xdr:col>
      <xdr:colOff>0</xdr:colOff>
      <xdr:row>70</xdr:row>
      <xdr:rowOff>0</xdr:rowOff>
    </xdr:to>
    <xdr:sp macro="" textlink="">
      <xdr:nvSpPr>
        <xdr:cNvPr id="13" name="Rektangel: øverste hjørner afrundet 107">
          <a:extLst>
            <a:ext uri="{FF2B5EF4-FFF2-40B4-BE49-F238E27FC236}">
              <a16:creationId xmlns:a16="http://schemas.microsoft.com/office/drawing/2014/main" id="{E64B78A4-DF30-44C0-A4C8-48D251D24FDC}"/>
            </a:ext>
          </a:extLst>
        </xdr:cNvPr>
        <xdr:cNvSpPr/>
      </xdr:nvSpPr>
      <xdr:spPr>
        <a:xfrm>
          <a:off x="14753147" y="16286900"/>
          <a:ext cx="3397931" cy="2697616"/>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93</xdr:col>
      <xdr:colOff>1219</xdr:colOff>
      <xdr:row>135</xdr:row>
      <xdr:rowOff>208012</xdr:rowOff>
    </xdr:from>
    <xdr:to>
      <xdr:col>95</xdr:col>
      <xdr:colOff>600</xdr:colOff>
      <xdr:row>143</xdr:row>
      <xdr:rowOff>151771</xdr:rowOff>
    </xdr:to>
    <xdr:sp macro="" textlink="">
      <xdr:nvSpPr>
        <xdr:cNvPr id="52" name="Rektangel: øverste hjørner afrundet 105">
          <a:extLst>
            <a:ext uri="{FF2B5EF4-FFF2-40B4-BE49-F238E27FC236}">
              <a16:creationId xmlns:a16="http://schemas.microsoft.com/office/drawing/2014/main" id="{8A89F8D5-2039-473D-B196-035E54490DC2}"/>
            </a:ext>
          </a:extLst>
        </xdr:cNvPr>
        <xdr:cNvSpPr/>
      </xdr:nvSpPr>
      <xdr:spPr>
        <a:xfrm>
          <a:off x="20779658" y="25679256"/>
          <a:ext cx="3837259" cy="2699039"/>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13</xdr:col>
      <xdr:colOff>7255</xdr:colOff>
      <xdr:row>128</xdr:row>
      <xdr:rowOff>197757</xdr:rowOff>
    </xdr:from>
    <xdr:to>
      <xdr:col>16</xdr:col>
      <xdr:colOff>1074964</xdr:colOff>
      <xdr:row>137</xdr:row>
      <xdr:rowOff>0</xdr:rowOff>
    </xdr:to>
    <xdr:sp macro="" textlink="">
      <xdr:nvSpPr>
        <xdr:cNvPr id="58" name="Rektangel: øverste hjørner afrundet 107">
          <a:extLst>
            <a:ext uri="{FF2B5EF4-FFF2-40B4-BE49-F238E27FC236}">
              <a16:creationId xmlns:a16="http://schemas.microsoft.com/office/drawing/2014/main" id="{640AE3E5-0667-4EEA-B9E5-EC2337E4B3A9}"/>
            </a:ext>
          </a:extLst>
        </xdr:cNvPr>
        <xdr:cNvSpPr/>
      </xdr:nvSpPr>
      <xdr:spPr>
        <a:xfrm>
          <a:off x="17274719" y="29235400"/>
          <a:ext cx="4047674" cy="2700564"/>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30388</xdr:colOff>
      <xdr:row>130</xdr:row>
      <xdr:rowOff>54429</xdr:rowOff>
    </xdr:from>
    <xdr:to>
      <xdr:col>10</xdr:col>
      <xdr:colOff>867681</xdr:colOff>
      <xdr:row>137</xdr:row>
      <xdr:rowOff>33618</xdr:rowOff>
    </xdr:to>
    <xdr:sp macro="" textlink="">
      <xdr:nvSpPr>
        <xdr:cNvPr id="59" name="Rektangel: øverste hjørner afrundet 19">
          <a:extLst>
            <a:ext uri="{FF2B5EF4-FFF2-40B4-BE49-F238E27FC236}">
              <a16:creationId xmlns:a16="http://schemas.microsoft.com/office/drawing/2014/main" id="{5B033C1F-55A9-4E89-8BEE-D33B3D5B41B8}"/>
            </a:ext>
          </a:extLst>
        </xdr:cNvPr>
        <xdr:cNvSpPr/>
      </xdr:nvSpPr>
      <xdr:spPr>
        <a:xfrm>
          <a:off x="9577800" y="42928135"/>
          <a:ext cx="4983469" cy="2242777"/>
        </a:xfrm>
        <a:prstGeom prst="round2SameRect">
          <a:avLst/>
        </a:prstGeom>
        <a:noFill/>
        <a:ln>
          <a:solidFill>
            <a:schemeClr val="tx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92</xdr:col>
      <xdr:colOff>561976</xdr:colOff>
      <xdr:row>196</xdr:row>
      <xdr:rowOff>27214</xdr:rowOff>
    </xdr:from>
    <xdr:to>
      <xdr:col>95</xdr:col>
      <xdr:colOff>1</xdr:colOff>
      <xdr:row>203</xdr:row>
      <xdr:rowOff>146958</xdr:rowOff>
    </xdr:to>
    <xdr:sp macro="" textlink="">
      <xdr:nvSpPr>
        <xdr:cNvPr id="68" name="Rektangel: øverste hjørner afrundet 105">
          <a:extLst>
            <a:ext uri="{FF2B5EF4-FFF2-40B4-BE49-F238E27FC236}">
              <a16:creationId xmlns:a16="http://schemas.microsoft.com/office/drawing/2014/main" id="{F932764F-2858-4C49-B425-BA45EAD960D6}"/>
            </a:ext>
          </a:extLst>
        </xdr:cNvPr>
        <xdr:cNvSpPr/>
      </xdr:nvSpPr>
      <xdr:spPr>
        <a:xfrm>
          <a:off x="19924940" y="34113107"/>
          <a:ext cx="3683454" cy="2677887"/>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13</xdr:col>
      <xdr:colOff>10432</xdr:colOff>
      <xdr:row>189</xdr:row>
      <xdr:rowOff>54429</xdr:rowOff>
    </xdr:from>
    <xdr:to>
      <xdr:col>16</xdr:col>
      <xdr:colOff>1074964</xdr:colOff>
      <xdr:row>197</xdr:row>
      <xdr:rowOff>10433</xdr:rowOff>
    </xdr:to>
    <xdr:sp macro="" textlink="">
      <xdr:nvSpPr>
        <xdr:cNvPr id="70" name="Rektangel: øverste hjørner afrundet 107">
          <a:extLst>
            <a:ext uri="{FF2B5EF4-FFF2-40B4-BE49-F238E27FC236}">
              <a16:creationId xmlns:a16="http://schemas.microsoft.com/office/drawing/2014/main" id="{8ACFF660-5427-43BE-8A08-AF2591394AE0}"/>
            </a:ext>
          </a:extLst>
        </xdr:cNvPr>
        <xdr:cNvSpPr/>
      </xdr:nvSpPr>
      <xdr:spPr>
        <a:xfrm>
          <a:off x="17277896" y="41746715"/>
          <a:ext cx="4044497" cy="2691039"/>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27214</xdr:colOff>
      <xdr:row>190</xdr:row>
      <xdr:rowOff>217715</xdr:rowOff>
    </xdr:from>
    <xdr:to>
      <xdr:col>10</xdr:col>
      <xdr:colOff>870857</xdr:colOff>
      <xdr:row>197</xdr:row>
      <xdr:rowOff>0</xdr:rowOff>
    </xdr:to>
    <xdr:sp macro="" textlink="">
      <xdr:nvSpPr>
        <xdr:cNvPr id="78" name="Rektangel: øverste hjørner afrundet 23">
          <a:extLst>
            <a:ext uri="{FF2B5EF4-FFF2-40B4-BE49-F238E27FC236}">
              <a16:creationId xmlns:a16="http://schemas.microsoft.com/office/drawing/2014/main" id="{F0CDD8BF-8EBD-4BFD-A366-C81B6171D658}"/>
            </a:ext>
          </a:extLst>
        </xdr:cNvPr>
        <xdr:cNvSpPr/>
      </xdr:nvSpPr>
      <xdr:spPr>
        <a:xfrm>
          <a:off x="6871607" y="34616572"/>
          <a:ext cx="4776107" cy="2190749"/>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92</xdr:col>
      <xdr:colOff>561976</xdr:colOff>
      <xdr:row>281</xdr:row>
      <xdr:rowOff>13606</xdr:rowOff>
    </xdr:from>
    <xdr:to>
      <xdr:col>95</xdr:col>
      <xdr:colOff>1</xdr:colOff>
      <xdr:row>288</xdr:row>
      <xdr:rowOff>133349</xdr:rowOff>
    </xdr:to>
    <xdr:sp macro="" textlink="">
      <xdr:nvSpPr>
        <xdr:cNvPr id="10" name="Rektangel: øverste hjørner afrundet 105">
          <a:extLst>
            <a:ext uri="{FF2B5EF4-FFF2-40B4-BE49-F238E27FC236}">
              <a16:creationId xmlns:a16="http://schemas.microsoft.com/office/drawing/2014/main" id="{C2B7946C-8B97-4CDC-8A85-C92B1E227F3E}"/>
            </a:ext>
          </a:extLst>
        </xdr:cNvPr>
        <xdr:cNvSpPr/>
      </xdr:nvSpPr>
      <xdr:spPr>
        <a:xfrm>
          <a:off x="19924940" y="91929856"/>
          <a:ext cx="3683454" cy="2677886"/>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13</xdr:col>
      <xdr:colOff>10432</xdr:colOff>
      <xdr:row>274</xdr:row>
      <xdr:rowOff>40821</xdr:rowOff>
    </xdr:from>
    <xdr:to>
      <xdr:col>16</xdr:col>
      <xdr:colOff>1074964</xdr:colOff>
      <xdr:row>281</xdr:row>
      <xdr:rowOff>163284</xdr:rowOff>
    </xdr:to>
    <xdr:sp macro="" textlink="">
      <xdr:nvSpPr>
        <xdr:cNvPr id="21" name="Rektangel: øverste hjørner afrundet 107">
          <a:extLst>
            <a:ext uri="{FF2B5EF4-FFF2-40B4-BE49-F238E27FC236}">
              <a16:creationId xmlns:a16="http://schemas.microsoft.com/office/drawing/2014/main" id="{9BF57D01-9017-4653-A13D-619E732B433E}"/>
            </a:ext>
          </a:extLst>
        </xdr:cNvPr>
        <xdr:cNvSpPr/>
      </xdr:nvSpPr>
      <xdr:spPr>
        <a:xfrm>
          <a:off x="17277896" y="62497607"/>
          <a:ext cx="4044497" cy="2680606"/>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27214</xdr:colOff>
      <xdr:row>275</xdr:row>
      <xdr:rowOff>204107</xdr:rowOff>
    </xdr:from>
    <xdr:to>
      <xdr:col>10</xdr:col>
      <xdr:colOff>870857</xdr:colOff>
      <xdr:row>281</xdr:row>
      <xdr:rowOff>149677</xdr:rowOff>
    </xdr:to>
    <xdr:sp macro="" textlink="">
      <xdr:nvSpPr>
        <xdr:cNvPr id="23" name="Rektangel: øverste hjørner afrundet 23">
          <a:extLst>
            <a:ext uri="{FF2B5EF4-FFF2-40B4-BE49-F238E27FC236}">
              <a16:creationId xmlns:a16="http://schemas.microsoft.com/office/drawing/2014/main" id="{D58CAE8C-A479-4A4A-972C-7B655D6B1807}"/>
            </a:ext>
          </a:extLst>
        </xdr:cNvPr>
        <xdr:cNvSpPr/>
      </xdr:nvSpPr>
      <xdr:spPr>
        <a:xfrm>
          <a:off x="6871607" y="92433321"/>
          <a:ext cx="4776107" cy="2190749"/>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12</xdr:col>
      <xdr:colOff>1156606</xdr:colOff>
      <xdr:row>331</xdr:row>
      <xdr:rowOff>54429</xdr:rowOff>
    </xdr:from>
    <xdr:to>
      <xdr:col>16</xdr:col>
      <xdr:colOff>1078137</xdr:colOff>
      <xdr:row>339</xdr:row>
      <xdr:rowOff>0</xdr:rowOff>
    </xdr:to>
    <xdr:sp macro="" textlink="">
      <xdr:nvSpPr>
        <xdr:cNvPr id="72" name="Rektangel: øverste hjørner afrundet 107">
          <a:extLst>
            <a:ext uri="{FF2B5EF4-FFF2-40B4-BE49-F238E27FC236}">
              <a16:creationId xmlns:a16="http://schemas.microsoft.com/office/drawing/2014/main" id="{B07A0DE7-9D30-46B4-8D5A-5895C8A0D8E4}"/>
            </a:ext>
          </a:extLst>
        </xdr:cNvPr>
        <xdr:cNvSpPr/>
      </xdr:nvSpPr>
      <xdr:spPr>
        <a:xfrm>
          <a:off x="17240249" y="74417465"/>
          <a:ext cx="4085317" cy="2680606"/>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10433</xdr:colOff>
      <xdr:row>332</xdr:row>
      <xdr:rowOff>214539</xdr:rowOff>
    </xdr:from>
    <xdr:to>
      <xdr:col>10</xdr:col>
      <xdr:colOff>857251</xdr:colOff>
      <xdr:row>338</xdr:row>
      <xdr:rowOff>149678</xdr:rowOff>
    </xdr:to>
    <xdr:sp macro="" textlink="">
      <xdr:nvSpPr>
        <xdr:cNvPr id="63" name="Rektangel: øverste hjørner afrundet 23">
          <a:extLst>
            <a:ext uri="{FF2B5EF4-FFF2-40B4-BE49-F238E27FC236}">
              <a16:creationId xmlns:a16="http://schemas.microsoft.com/office/drawing/2014/main" id="{DAF94C40-8FF0-4A6C-B4A0-532C8ADB7050}"/>
            </a:ext>
          </a:extLst>
        </xdr:cNvPr>
        <xdr:cNvSpPr/>
      </xdr:nvSpPr>
      <xdr:spPr>
        <a:xfrm>
          <a:off x="9317719" y="104690182"/>
          <a:ext cx="4915353" cy="2193925"/>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12</xdr:col>
      <xdr:colOff>1153432</xdr:colOff>
      <xdr:row>391</xdr:row>
      <xdr:rowOff>27215</xdr:rowOff>
    </xdr:from>
    <xdr:to>
      <xdr:col>16</xdr:col>
      <xdr:colOff>1074964</xdr:colOff>
      <xdr:row>399</xdr:row>
      <xdr:rowOff>0</xdr:rowOff>
    </xdr:to>
    <xdr:sp macro="" textlink="">
      <xdr:nvSpPr>
        <xdr:cNvPr id="109" name="Rektangel: øverste hjørner afrundet 107">
          <a:extLst>
            <a:ext uri="{FF2B5EF4-FFF2-40B4-BE49-F238E27FC236}">
              <a16:creationId xmlns:a16="http://schemas.microsoft.com/office/drawing/2014/main" id="{D40010B7-A315-4216-9F30-A8A687355ED0}"/>
            </a:ext>
          </a:extLst>
        </xdr:cNvPr>
        <xdr:cNvSpPr/>
      </xdr:nvSpPr>
      <xdr:spPr>
        <a:xfrm>
          <a:off x="17237075" y="86963251"/>
          <a:ext cx="4085318" cy="2694213"/>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6</xdr:col>
      <xdr:colOff>1170215</xdr:colOff>
      <xdr:row>392</xdr:row>
      <xdr:rowOff>190500</xdr:rowOff>
    </xdr:from>
    <xdr:to>
      <xdr:col>10</xdr:col>
      <xdr:colOff>830036</xdr:colOff>
      <xdr:row>398</xdr:row>
      <xdr:rowOff>149678</xdr:rowOff>
    </xdr:to>
    <xdr:sp macro="" textlink="">
      <xdr:nvSpPr>
        <xdr:cNvPr id="107" name="Rektangel: øverste hjørner afrundet 23">
          <a:extLst>
            <a:ext uri="{FF2B5EF4-FFF2-40B4-BE49-F238E27FC236}">
              <a16:creationId xmlns:a16="http://schemas.microsoft.com/office/drawing/2014/main" id="{CC527425-6868-4684-9090-925E61A4D527}"/>
            </a:ext>
          </a:extLst>
        </xdr:cNvPr>
        <xdr:cNvSpPr/>
      </xdr:nvSpPr>
      <xdr:spPr>
        <a:xfrm>
          <a:off x="6830786" y="134561036"/>
          <a:ext cx="4776107" cy="2190749"/>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12</xdr:col>
      <xdr:colOff>1156607</xdr:colOff>
      <xdr:row>451</xdr:row>
      <xdr:rowOff>136071</xdr:rowOff>
    </xdr:from>
    <xdr:to>
      <xdr:col>17</xdr:col>
      <xdr:colOff>1</xdr:colOff>
      <xdr:row>459</xdr:row>
      <xdr:rowOff>149678</xdr:rowOff>
    </xdr:to>
    <xdr:sp macro="" textlink="">
      <xdr:nvSpPr>
        <xdr:cNvPr id="121" name="Rektangel: øverste hjørner afrundet 107">
          <a:extLst>
            <a:ext uri="{FF2B5EF4-FFF2-40B4-BE49-F238E27FC236}">
              <a16:creationId xmlns:a16="http://schemas.microsoft.com/office/drawing/2014/main" id="{5DE45BF0-BFF8-42EE-92AD-2CB28C0CF751}"/>
            </a:ext>
          </a:extLst>
        </xdr:cNvPr>
        <xdr:cNvSpPr/>
      </xdr:nvSpPr>
      <xdr:spPr>
        <a:xfrm>
          <a:off x="17240250" y="99441000"/>
          <a:ext cx="4095751" cy="2694214"/>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p>
        <a:p>
          <a:pPr algn="l"/>
          <a:endParaRPr lang="da-DK" sz="1300">
            <a:effectLst/>
            <a:latin typeface="Source Sans Pro" panose="020B0503030403020204" pitchFamily="34" charset="0"/>
          </a:endParaRPr>
        </a:p>
        <a:p>
          <a:pPr algn="l" eaLnBrk="1" fontAlgn="auto" latinLnBrk="0" hangingPunct="1"/>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p>
        <a:p>
          <a:pPr algn="l" eaLnBrk="1" fontAlgn="auto" latinLnBrk="0" hangingPunct="1"/>
          <a:endParaRPr lang="da-DK" sz="1300">
            <a:solidFill>
              <a:schemeClr val="tx2"/>
            </a:solidFill>
            <a:effectLst/>
            <a:latin typeface="Source Sans Pro" panose="020B0503030403020204" pitchFamily="34" charset="0"/>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0</xdr:colOff>
      <xdr:row>453</xdr:row>
      <xdr:rowOff>147277</xdr:rowOff>
    </xdr:from>
    <xdr:to>
      <xdr:col>10</xdr:col>
      <xdr:colOff>846818</xdr:colOff>
      <xdr:row>459</xdr:row>
      <xdr:rowOff>147276</xdr:rowOff>
    </xdr:to>
    <xdr:sp macro="" textlink="">
      <xdr:nvSpPr>
        <xdr:cNvPr id="118" name="Rektangel: øverste hjørner afrundet 23">
          <a:extLst>
            <a:ext uri="{FF2B5EF4-FFF2-40B4-BE49-F238E27FC236}">
              <a16:creationId xmlns:a16="http://schemas.microsoft.com/office/drawing/2014/main" id="{6EF229F4-CC65-4F5C-BD39-76DCA405B370}"/>
            </a:ext>
          </a:extLst>
        </xdr:cNvPr>
        <xdr:cNvSpPr/>
      </xdr:nvSpPr>
      <xdr:spPr>
        <a:xfrm>
          <a:off x="9289676" y="71898542"/>
          <a:ext cx="4914554" cy="2207558"/>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endParaRPr lang="da-DK" sz="1300">
            <a:solidFill>
              <a:schemeClr val="tx2"/>
            </a:solidFill>
            <a:effectLst/>
            <a:latin typeface="Source Sans Pro" panose="020B0503030403020204" pitchFamily="34" charset="0"/>
          </a:endParaRPr>
        </a:p>
        <a:p>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17</xdr:col>
      <xdr:colOff>1</xdr:colOff>
      <xdr:row>461</xdr:row>
      <xdr:rowOff>0</xdr:rowOff>
    </xdr:from>
    <xdr:to>
      <xdr:col>18</xdr:col>
      <xdr:colOff>1423147</xdr:colOff>
      <xdr:row>468</xdr:row>
      <xdr:rowOff>463551</xdr:rowOff>
    </xdr:to>
    <xdr:graphicFrame macro="">
      <xdr:nvGraphicFramePr>
        <xdr:cNvPr id="30" name="Diagram 25">
          <a:extLst>
            <a:ext uri="{FF2B5EF4-FFF2-40B4-BE49-F238E27FC236}">
              <a16:creationId xmlns:a16="http://schemas.microsoft.com/office/drawing/2014/main" id="{CFCAF534-7F54-4079-A322-B06DAA4E7DD8}"/>
            </a:ext>
            <a:ext uri="{147F2762-F138-4A5C-976F-8EAC2B608ADB}">
              <a16:predDERef xmlns:a16="http://schemas.microsoft.com/office/drawing/2014/main" pred="{96B3D09D-C629-708E-5325-46B89E484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93</xdr:col>
      <xdr:colOff>49100</xdr:colOff>
      <xdr:row>468</xdr:row>
      <xdr:rowOff>68036</xdr:rowOff>
    </xdr:from>
    <xdr:to>
      <xdr:col>94</xdr:col>
      <xdr:colOff>2202656</xdr:colOff>
      <xdr:row>475</xdr:row>
      <xdr:rowOff>465819</xdr:rowOff>
    </xdr:to>
    <xdr:graphicFrame macro="">
      <xdr:nvGraphicFramePr>
        <xdr:cNvPr id="32" name="Diagram 26">
          <a:extLst>
            <a:ext uri="{FF2B5EF4-FFF2-40B4-BE49-F238E27FC236}">
              <a16:creationId xmlns:a16="http://schemas.microsoft.com/office/drawing/2014/main" id="{C3228AEB-99D2-4932-AF7C-04CE4CB3ADFE}"/>
            </a:ext>
            <a:ext uri="{147F2762-F138-4A5C-976F-8EAC2B608ADB}">
              <a16:predDERef xmlns:a16="http://schemas.microsoft.com/office/drawing/2014/main" pred="{C092E775-7B0D-4A88-AC1F-A036B2A4D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17</xdr:col>
      <xdr:colOff>921075</xdr:colOff>
      <xdr:row>460</xdr:row>
      <xdr:rowOff>16895</xdr:rowOff>
    </xdr:from>
    <xdr:to>
      <xdr:col>18</xdr:col>
      <xdr:colOff>469815</xdr:colOff>
      <xdr:row>461</xdr:row>
      <xdr:rowOff>388107</xdr:rowOff>
    </xdr:to>
    <xdr:pic>
      <xdr:nvPicPr>
        <xdr:cNvPr id="34" name="Billede 4">
          <a:extLst>
            <a:ext uri="{FF2B5EF4-FFF2-40B4-BE49-F238E27FC236}">
              <a16:creationId xmlns:a16="http://schemas.microsoft.com/office/drawing/2014/main" id="{6178E302-8A04-4D72-8A71-B5247E298D75}"/>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118530" y="175917668"/>
          <a:ext cx="1038103" cy="769530"/>
        </a:xfrm>
        <a:prstGeom prst="rect">
          <a:avLst/>
        </a:prstGeom>
      </xdr:spPr>
    </xdr:pic>
    <xdr:clientData/>
  </xdr:twoCellAnchor>
  <xdr:twoCellAnchor>
    <xdr:from>
      <xdr:col>17</xdr:col>
      <xdr:colOff>28575</xdr:colOff>
      <xdr:row>472</xdr:row>
      <xdr:rowOff>92226</xdr:rowOff>
    </xdr:from>
    <xdr:to>
      <xdr:col>19</xdr:col>
      <xdr:colOff>45509</xdr:colOff>
      <xdr:row>478</xdr:row>
      <xdr:rowOff>392491</xdr:rowOff>
    </xdr:to>
    <xdr:graphicFrame macro="">
      <xdr:nvGraphicFramePr>
        <xdr:cNvPr id="39" name="Diagram 104">
          <a:extLst>
            <a:ext uri="{FF2B5EF4-FFF2-40B4-BE49-F238E27FC236}">
              <a16:creationId xmlns:a16="http://schemas.microsoft.com/office/drawing/2014/main" id="{D5118369-E233-41A3-98C2-DA4C0E3CD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17</xdr:col>
      <xdr:colOff>909289</xdr:colOff>
      <xdr:row>471</xdr:row>
      <xdr:rowOff>16452</xdr:rowOff>
    </xdr:from>
    <xdr:to>
      <xdr:col>18</xdr:col>
      <xdr:colOff>443948</xdr:colOff>
      <xdr:row>473</xdr:row>
      <xdr:rowOff>9157</xdr:rowOff>
    </xdr:to>
    <xdr:pic>
      <xdr:nvPicPr>
        <xdr:cNvPr id="41" name="Billede 4">
          <a:extLst>
            <a:ext uri="{FF2B5EF4-FFF2-40B4-BE49-F238E27FC236}">
              <a16:creationId xmlns:a16="http://schemas.microsoft.com/office/drawing/2014/main" id="{EBCD504F-61BA-4326-8C12-01E1C75B906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106744" y="180610452"/>
          <a:ext cx="1024022" cy="772023"/>
        </a:xfrm>
        <a:prstGeom prst="rect">
          <a:avLst/>
        </a:prstGeom>
      </xdr:spPr>
    </xdr:pic>
    <xdr:clientData/>
  </xdr:twoCellAnchor>
  <xdr:twoCellAnchor>
    <xdr:from>
      <xdr:col>17</xdr:col>
      <xdr:colOff>68035</xdr:colOff>
      <xdr:row>482</xdr:row>
      <xdr:rowOff>95250</xdr:rowOff>
    </xdr:from>
    <xdr:to>
      <xdr:col>19</xdr:col>
      <xdr:colOff>95250</xdr:colOff>
      <xdr:row>488</xdr:row>
      <xdr:rowOff>411389</xdr:rowOff>
    </xdr:to>
    <xdr:graphicFrame macro="">
      <xdr:nvGraphicFramePr>
        <xdr:cNvPr id="79" name="Diagram 73">
          <a:extLst>
            <a:ext uri="{FF2B5EF4-FFF2-40B4-BE49-F238E27FC236}">
              <a16:creationId xmlns:a16="http://schemas.microsoft.com/office/drawing/2014/main" id="{C4964FDD-45B6-4F6F-85F9-5C0FD94DB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17</xdr:col>
      <xdr:colOff>952050</xdr:colOff>
      <xdr:row>481</xdr:row>
      <xdr:rowOff>20410</xdr:rowOff>
    </xdr:from>
    <xdr:to>
      <xdr:col>18</xdr:col>
      <xdr:colOff>520416</xdr:colOff>
      <xdr:row>482</xdr:row>
      <xdr:rowOff>392301</xdr:rowOff>
    </xdr:to>
    <xdr:pic>
      <xdr:nvPicPr>
        <xdr:cNvPr id="81" name="Billede 4">
          <a:extLst>
            <a:ext uri="{FF2B5EF4-FFF2-40B4-BE49-F238E27FC236}">
              <a16:creationId xmlns:a16="http://schemas.microsoft.com/office/drawing/2014/main" id="{22453907-9186-43CE-9931-E2AD8028021E}"/>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149505" y="184770774"/>
          <a:ext cx="1057729" cy="770209"/>
        </a:xfrm>
        <a:prstGeom prst="rect">
          <a:avLst/>
        </a:prstGeom>
      </xdr:spPr>
    </xdr:pic>
    <xdr:clientData/>
  </xdr:twoCellAnchor>
  <xdr:twoCellAnchor>
    <xdr:from>
      <xdr:col>7</xdr:col>
      <xdr:colOff>68728</xdr:colOff>
      <xdr:row>37</xdr:row>
      <xdr:rowOff>190499</xdr:rowOff>
    </xdr:from>
    <xdr:to>
      <xdr:col>13</xdr:col>
      <xdr:colOff>991960</xdr:colOff>
      <xdr:row>50</xdr:row>
      <xdr:rowOff>225136</xdr:rowOff>
    </xdr:to>
    <xdr:graphicFrame macro="">
      <xdr:nvGraphicFramePr>
        <xdr:cNvPr id="89" name="Diagram 74">
          <a:extLst>
            <a:ext uri="{FF2B5EF4-FFF2-40B4-BE49-F238E27FC236}">
              <a16:creationId xmlns:a16="http://schemas.microsoft.com/office/drawing/2014/main" id="{E93BEC38-11E7-4707-9AFF-306EA5729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17</xdr:col>
      <xdr:colOff>37647</xdr:colOff>
      <xdr:row>258</xdr:row>
      <xdr:rowOff>9524</xdr:rowOff>
    </xdr:from>
    <xdr:to>
      <xdr:col>19</xdr:col>
      <xdr:colOff>37646</xdr:colOff>
      <xdr:row>263</xdr:row>
      <xdr:rowOff>394607</xdr:rowOff>
    </xdr:to>
    <xdr:graphicFrame macro="">
      <xdr:nvGraphicFramePr>
        <xdr:cNvPr id="88" name="Diagram 52">
          <a:extLst>
            <a:ext uri="{FF2B5EF4-FFF2-40B4-BE49-F238E27FC236}">
              <a16:creationId xmlns:a16="http://schemas.microsoft.com/office/drawing/2014/main" id="{75883E33-A7EF-4BF4-8DC5-10EFD6E87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13</xdr:col>
      <xdr:colOff>10432</xdr:colOff>
      <xdr:row>249</xdr:row>
      <xdr:rowOff>54429</xdr:rowOff>
    </xdr:from>
    <xdr:to>
      <xdr:col>16</xdr:col>
      <xdr:colOff>1074964</xdr:colOff>
      <xdr:row>257</xdr:row>
      <xdr:rowOff>10433</xdr:rowOff>
    </xdr:to>
    <xdr:sp macro="" textlink="">
      <xdr:nvSpPr>
        <xdr:cNvPr id="103" name="Rektangel: øverste hjørner afrundet 107">
          <a:extLst>
            <a:ext uri="{FF2B5EF4-FFF2-40B4-BE49-F238E27FC236}">
              <a16:creationId xmlns:a16="http://schemas.microsoft.com/office/drawing/2014/main" id="{E169A525-CAE4-44EC-B40C-F3DC6084AB09}"/>
            </a:ext>
          </a:extLst>
        </xdr:cNvPr>
        <xdr:cNvSpPr/>
      </xdr:nvSpPr>
      <xdr:spPr>
        <a:xfrm>
          <a:off x="17277896" y="54442179"/>
          <a:ext cx="4044497" cy="2691040"/>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27214</xdr:colOff>
      <xdr:row>250</xdr:row>
      <xdr:rowOff>217715</xdr:rowOff>
    </xdr:from>
    <xdr:to>
      <xdr:col>10</xdr:col>
      <xdr:colOff>870857</xdr:colOff>
      <xdr:row>257</xdr:row>
      <xdr:rowOff>0</xdr:rowOff>
    </xdr:to>
    <xdr:sp macro="" textlink="">
      <xdr:nvSpPr>
        <xdr:cNvPr id="105" name="Rektangel: øverste hjørner afrundet 23">
          <a:extLst>
            <a:ext uri="{FF2B5EF4-FFF2-40B4-BE49-F238E27FC236}">
              <a16:creationId xmlns:a16="http://schemas.microsoft.com/office/drawing/2014/main" id="{902C0BD2-2C71-4190-8770-CBCF463806CE}"/>
            </a:ext>
          </a:extLst>
        </xdr:cNvPr>
        <xdr:cNvSpPr/>
      </xdr:nvSpPr>
      <xdr:spPr>
        <a:xfrm>
          <a:off x="9364889" y="71515515"/>
          <a:ext cx="4933043" cy="2184173"/>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editAs="oneCell">
    <xdr:from>
      <xdr:col>1</xdr:col>
      <xdr:colOff>437408</xdr:colOff>
      <xdr:row>6</xdr:row>
      <xdr:rowOff>488868</xdr:rowOff>
    </xdr:from>
    <xdr:to>
      <xdr:col>1</xdr:col>
      <xdr:colOff>2373993</xdr:colOff>
      <xdr:row>16</xdr:row>
      <xdr:rowOff>47204</xdr:rowOff>
    </xdr:to>
    <xdr:pic>
      <xdr:nvPicPr>
        <xdr:cNvPr id="4" name="Billede 23" descr="KL - Kommunernes Landsforening - virksomhedsprofil og statistik">
          <a:hlinkClick xmlns:r="http://schemas.openxmlformats.org/officeDocument/2006/relationships" r:id="rId74"/>
          <a:extLst>
            <a:ext uri="{FF2B5EF4-FFF2-40B4-BE49-F238E27FC236}">
              <a16:creationId xmlns:a16="http://schemas.microsoft.com/office/drawing/2014/main" id="{B22E4DAF-6C57-46F6-807B-5B2A736020B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036122" y="856261"/>
          <a:ext cx="1930235" cy="19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2268</xdr:colOff>
      <xdr:row>48</xdr:row>
      <xdr:rowOff>56537</xdr:rowOff>
    </xdr:from>
    <xdr:to>
      <xdr:col>13</xdr:col>
      <xdr:colOff>806450</xdr:colOff>
      <xdr:row>50</xdr:row>
      <xdr:rowOff>160611</xdr:rowOff>
    </xdr:to>
    <xdr:pic>
      <xdr:nvPicPr>
        <xdr:cNvPr id="114" name="Picture 113">
          <a:hlinkClick xmlns:r="http://schemas.openxmlformats.org/officeDocument/2006/relationships" r:id="rId76"/>
          <a:extLst>
            <a:ext uri="{FF2B5EF4-FFF2-40B4-BE49-F238E27FC236}">
              <a16:creationId xmlns:a16="http://schemas.microsoft.com/office/drawing/2014/main" id="{2294EDEF-DC3C-4D8B-B459-39467D40C847}"/>
            </a:ext>
          </a:extLst>
        </xdr:cNvPr>
        <xdr:cNvPicPr>
          <a:picLocks noChangeAspect="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67747" t="76230" r="26319" b="5446"/>
        <a:stretch/>
      </xdr:blipFill>
      <xdr:spPr>
        <a:xfrm>
          <a:off x="17250682" y="12689408"/>
          <a:ext cx="801007" cy="728519"/>
        </a:xfrm>
        <a:prstGeom prst="rect">
          <a:avLst/>
        </a:prstGeom>
      </xdr:spPr>
    </xdr:pic>
    <xdr:clientData/>
  </xdr:twoCellAnchor>
  <xdr:twoCellAnchor editAs="oneCell">
    <xdr:from>
      <xdr:col>9</xdr:col>
      <xdr:colOff>601092</xdr:colOff>
      <xdr:row>48</xdr:row>
      <xdr:rowOff>59812</xdr:rowOff>
    </xdr:from>
    <xdr:to>
      <xdr:col>9</xdr:col>
      <xdr:colOff>1402099</xdr:colOff>
      <xdr:row>50</xdr:row>
      <xdr:rowOff>180226</xdr:rowOff>
    </xdr:to>
    <xdr:pic>
      <xdr:nvPicPr>
        <xdr:cNvPr id="115" name="Picture 114">
          <a:hlinkClick xmlns:r="http://schemas.openxmlformats.org/officeDocument/2006/relationships" r:id="rId78"/>
          <a:extLst>
            <a:ext uri="{FF2B5EF4-FFF2-40B4-BE49-F238E27FC236}">
              <a16:creationId xmlns:a16="http://schemas.microsoft.com/office/drawing/2014/main" id="{591B417C-D8D8-4808-BD43-05D83C8E1E0D}"/>
            </a:ext>
          </a:extLst>
        </xdr:cNvPr>
        <xdr:cNvPicPr>
          <a:picLocks noChangeAspect="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73445" t="76230" r="20621" b="5446"/>
        <a:stretch/>
      </xdr:blipFill>
      <xdr:spPr>
        <a:xfrm>
          <a:off x="12858141" y="12609580"/>
          <a:ext cx="804182" cy="737956"/>
        </a:xfrm>
        <a:prstGeom prst="rect">
          <a:avLst/>
        </a:prstGeom>
      </xdr:spPr>
    </xdr:pic>
    <xdr:clientData/>
  </xdr:twoCellAnchor>
  <xdr:twoCellAnchor editAs="oneCell">
    <xdr:from>
      <xdr:col>0</xdr:col>
      <xdr:colOff>428623</xdr:colOff>
      <xdr:row>450</xdr:row>
      <xdr:rowOff>373495</xdr:rowOff>
    </xdr:from>
    <xdr:to>
      <xdr:col>2</xdr:col>
      <xdr:colOff>908049</xdr:colOff>
      <xdr:row>460</xdr:row>
      <xdr:rowOff>11265</xdr:rowOff>
    </xdr:to>
    <xdr:pic>
      <xdr:nvPicPr>
        <xdr:cNvPr id="117" name="Picture 116">
          <a:extLst>
            <a:ext uri="{FF2B5EF4-FFF2-40B4-BE49-F238E27FC236}">
              <a16:creationId xmlns:a16="http://schemas.microsoft.com/office/drawing/2014/main" id="{45B51E4D-B891-457C-9E5E-C3FD2DFA7732}"/>
            </a:ext>
          </a:extLst>
        </xdr:cNvPr>
        <xdr:cNvPicPr>
          <a:picLocks noChangeAspect="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67747" t="76230" r="26319" b="5446"/>
        <a:stretch/>
      </xdr:blipFill>
      <xdr:spPr>
        <a:xfrm>
          <a:off x="428623" y="168846933"/>
          <a:ext cx="3690939" cy="2971521"/>
        </a:xfrm>
        <a:prstGeom prst="rect">
          <a:avLst/>
        </a:prstGeom>
      </xdr:spPr>
    </xdr:pic>
    <xdr:clientData/>
  </xdr:twoCellAnchor>
  <xdr:twoCellAnchor editAs="oneCell">
    <xdr:from>
      <xdr:col>0</xdr:col>
      <xdr:colOff>473075</xdr:colOff>
      <xdr:row>247</xdr:row>
      <xdr:rowOff>503465</xdr:rowOff>
    </xdr:from>
    <xdr:to>
      <xdr:col>3</xdr:col>
      <xdr:colOff>16782</xdr:colOff>
      <xdr:row>257</xdr:row>
      <xdr:rowOff>351652</xdr:rowOff>
    </xdr:to>
    <xdr:pic>
      <xdr:nvPicPr>
        <xdr:cNvPr id="125" name="Picture 124">
          <a:extLst>
            <a:ext uri="{FF2B5EF4-FFF2-40B4-BE49-F238E27FC236}">
              <a16:creationId xmlns:a16="http://schemas.microsoft.com/office/drawing/2014/main" id="{5749AD5D-87BD-4695-BBDD-067D558B55CB}"/>
            </a:ext>
          </a:extLst>
        </xdr:cNvPr>
        <xdr:cNvPicPr>
          <a:picLocks noChangeAspect="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73445" t="76230" r="20621" b="5446"/>
        <a:stretch/>
      </xdr:blipFill>
      <xdr:spPr>
        <a:xfrm>
          <a:off x="473075" y="91181465"/>
          <a:ext cx="3693886" cy="3298049"/>
        </a:xfrm>
        <a:prstGeom prst="rect">
          <a:avLst/>
        </a:prstGeom>
      </xdr:spPr>
    </xdr:pic>
    <xdr:clientData/>
  </xdr:twoCellAnchor>
  <xdr:twoCellAnchor editAs="oneCell">
    <xdr:from>
      <xdr:col>17</xdr:col>
      <xdr:colOff>1030968</xdr:colOff>
      <xdr:row>257</xdr:row>
      <xdr:rowOff>30389</xdr:rowOff>
    </xdr:from>
    <xdr:to>
      <xdr:col>18</xdr:col>
      <xdr:colOff>496661</xdr:colOff>
      <xdr:row>258</xdr:row>
      <xdr:rowOff>316140</xdr:rowOff>
    </xdr:to>
    <xdr:pic>
      <xdr:nvPicPr>
        <xdr:cNvPr id="126" name="Picture 125">
          <a:extLst>
            <a:ext uri="{FF2B5EF4-FFF2-40B4-BE49-F238E27FC236}">
              <a16:creationId xmlns:a16="http://schemas.microsoft.com/office/drawing/2014/main" id="{F57FFA4C-8FE8-42A7-B59A-6533B5803DAA}"/>
            </a:ext>
          </a:extLst>
        </xdr:cNvPr>
        <xdr:cNvPicPr>
          <a:picLocks noChangeAspect="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l="73445" t="76230" r="20621" b="5446"/>
        <a:stretch/>
      </xdr:blipFill>
      <xdr:spPr>
        <a:xfrm>
          <a:off x="22258111" y="94164603"/>
          <a:ext cx="925286" cy="758826"/>
        </a:xfrm>
        <a:prstGeom prst="rect">
          <a:avLst/>
        </a:prstGeom>
      </xdr:spPr>
    </xdr:pic>
    <xdr:clientData/>
  </xdr:twoCellAnchor>
  <xdr:twoCellAnchor>
    <xdr:from>
      <xdr:col>18</xdr:col>
      <xdr:colOff>1114877</xdr:colOff>
      <xdr:row>23</xdr:row>
      <xdr:rowOff>156031</xdr:rowOff>
    </xdr:from>
    <xdr:to>
      <xdr:col>18</xdr:col>
      <xdr:colOff>1360714</xdr:colOff>
      <xdr:row>23</xdr:row>
      <xdr:rowOff>496208</xdr:rowOff>
    </xdr:to>
    <xdr:sp macro="" textlink="">
      <xdr:nvSpPr>
        <xdr:cNvPr id="6" name="TextBox 5">
          <a:extLst>
            <a:ext uri="{FF2B5EF4-FFF2-40B4-BE49-F238E27FC236}">
              <a16:creationId xmlns:a16="http://schemas.microsoft.com/office/drawing/2014/main" id="{CCF792F4-B173-B4FB-61C4-B989C17B5ACA}"/>
            </a:ext>
          </a:extLst>
        </xdr:cNvPr>
        <xdr:cNvSpPr txBox="1"/>
      </xdr:nvSpPr>
      <xdr:spPr>
        <a:xfrm>
          <a:off x="23825198" y="5435602"/>
          <a:ext cx="245837" cy="340177"/>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18</xdr:col>
      <xdr:colOff>1107935</xdr:colOff>
      <xdr:row>29</xdr:row>
      <xdr:rowOff>216374</xdr:rowOff>
    </xdr:from>
    <xdr:to>
      <xdr:col>18</xdr:col>
      <xdr:colOff>1360122</xdr:colOff>
      <xdr:row>30</xdr:row>
      <xdr:rowOff>238637</xdr:rowOff>
    </xdr:to>
    <xdr:sp macro="" textlink="">
      <xdr:nvSpPr>
        <xdr:cNvPr id="8" name="TextBox 7">
          <a:extLst>
            <a:ext uri="{FF2B5EF4-FFF2-40B4-BE49-F238E27FC236}">
              <a16:creationId xmlns:a16="http://schemas.microsoft.com/office/drawing/2014/main" id="{8883D021-FD31-4DE9-A99B-C38FE7295B08}"/>
            </a:ext>
          </a:extLst>
        </xdr:cNvPr>
        <xdr:cNvSpPr txBox="1"/>
      </xdr:nvSpPr>
      <xdr:spPr>
        <a:xfrm>
          <a:off x="23818256" y="8013267"/>
          <a:ext cx="252187" cy="335227"/>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18</xdr:col>
      <xdr:colOff>1107935</xdr:colOff>
      <xdr:row>37</xdr:row>
      <xdr:rowOff>230571</xdr:rowOff>
    </xdr:from>
    <xdr:to>
      <xdr:col>18</xdr:col>
      <xdr:colOff>1363297</xdr:colOff>
      <xdr:row>38</xdr:row>
      <xdr:rowOff>249659</xdr:rowOff>
    </xdr:to>
    <xdr:sp macro="" textlink="">
      <xdr:nvSpPr>
        <xdr:cNvPr id="9" name="TextBox 8">
          <a:extLst>
            <a:ext uri="{FF2B5EF4-FFF2-40B4-BE49-F238E27FC236}">
              <a16:creationId xmlns:a16="http://schemas.microsoft.com/office/drawing/2014/main" id="{C15B18E5-5B42-4884-983E-43B97E4815AC}"/>
            </a:ext>
          </a:extLst>
        </xdr:cNvPr>
        <xdr:cNvSpPr txBox="1"/>
      </xdr:nvSpPr>
      <xdr:spPr>
        <a:xfrm>
          <a:off x="23818256" y="10218214"/>
          <a:ext cx="255362" cy="332052"/>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18</xdr:col>
      <xdr:colOff>1107935</xdr:colOff>
      <xdr:row>44</xdr:row>
      <xdr:rowOff>254611</xdr:rowOff>
    </xdr:from>
    <xdr:to>
      <xdr:col>18</xdr:col>
      <xdr:colOff>1360122</xdr:colOff>
      <xdr:row>45</xdr:row>
      <xdr:rowOff>273699</xdr:rowOff>
    </xdr:to>
    <xdr:sp macro="" textlink="">
      <xdr:nvSpPr>
        <xdr:cNvPr id="19" name="TextBox 18">
          <a:extLst>
            <a:ext uri="{FF2B5EF4-FFF2-40B4-BE49-F238E27FC236}">
              <a16:creationId xmlns:a16="http://schemas.microsoft.com/office/drawing/2014/main" id="{57AE1ADE-FFC6-4463-B6B6-0037A1F88752}"/>
            </a:ext>
          </a:extLst>
        </xdr:cNvPr>
        <xdr:cNvSpPr txBox="1"/>
      </xdr:nvSpPr>
      <xdr:spPr>
        <a:xfrm>
          <a:off x="23818256" y="12433004"/>
          <a:ext cx="252187" cy="332052"/>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7</xdr:col>
      <xdr:colOff>56030</xdr:colOff>
      <xdr:row>24</xdr:row>
      <xdr:rowOff>63516</xdr:rowOff>
    </xdr:from>
    <xdr:to>
      <xdr:col>13</xdr:col>
      <xdr:colOff>997324</xdr:colOff>
      <xdr:row>35</xdr:row>
      <xdr:rowOff>246529</xdr:rowOff>
    </xdr:to>
    <xdr:graphicFrame macro="">
      <xdr:nvGraphicFramePr>
        <xdr:cNvPr id="24" name="Chart 23">
          <a:extLst>
            <a:ext uri="{FF2B5EF4-FFF2-40B4-BE49-F238E27FC236}">
              <a16:creationId xmlns:a16="http://schemas.microsoft.com/office/drawing/2014/main" id="{C1A2C43F-9254-1F68-90B8-469D27A30E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12</xdr:col>
      <xdr:colOff>1174462</xdr:colOff>
      <xdr:row>495</xdr:row>
      <xdr:rowOff>297584</xdr:rowOff>
    </xdr:from>
    <xdr:to>
      <xdr:col>16</xdr:col>
      <xdr:colOff>1016908</xdr:colOff>
      <xdr:row>503</xdr:row>
      <xdr:rowOff>116342</xdr:rowOff>
    </xdr:to>
    <xdr:sp macro="" textlink="">
      <xdr:nvSpPr>
        <xdr:cNvPr id="158" name="Rektangel: øverste hjørner afrundet 107">
          <a:extLst>
            <a:ext uri="{FF2B5EF4-FFF2-40B4-BE49-F238E27FC236}">
              <a16:creationId xmlns:a16="http://schemas.microsoft.com/office/drawing/2014/main" id="{7EEB2C63-1FE7-47E6-9281-D3FC4323DD86}"/>
            </a:ext>
          </a:extLst>
        </xdr:cNvPr>
        <xdr:cNvSpPr/>
      </xdr:nvSpPr>
      <xdr:spPr>
        <a:xfrm>
          <a:off x="17228417" y="197326539"/>
          <a:ext cx="3964173" cy="2589667"/>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31462</xdr:colOff>
      <xdr:row>497</xdr:row>
      <xdr:rowOff>30925</xdr:rowOff>
    </xdr:from>
    <xdr:to>
      <xdr:col>10</xdr:col>
      <xdr:colOff>868755</xdr:colOff>
      <xdr:row>503</xdr:row>
      <xdr:rowOff>145431</xdr:rowOff>
    </xdr:to>
    <xdr:sp macro="" textlink="">
      <xdr:nvSpPr>
        <xdr:cNvPr id="26" name="Rektangel: øverste hjørner afrundet 23">
          <a:extLst>
            <a:ext uri="{FF2B5EF4-FFF2-40B4-BE49-F238E27FC236}">
              <a16:creationId xmlns:a16="http://schemas.microsoft.com/office/drawing/2014/main" id="{B8E6A416-162F-4A22-A02D-6A1574DA7EC4}"/>
            </a:ext>
          </a:extLst>
        </xdr:cNvPr>
        <xdr:cNvSpPr/>
      </xdr:nvSpPr>
      <xdr:spPr>
        <a:xfrm>
          <a:off x="9597283" y="198667996"/>
          <a:ext cx="4987472" cy="2237221"/>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solceller du ønsker at undersøge når "vælg selv" er angivet i hovetmenuen. Solcelle arealet angives også i hovedmenuen.</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angive solcellernes orientering, hældning og placering hvilket har indflydelse på deres ydelsesevne.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12</xdr:col>
      <xdr:colOff>1174462</xdr:colOff>
      <xdr:row>522</xdr:row>
      <xdr:rowOff>5483</xdr:rowOff>
    </xdr:from>
    <xdr:to>
      <xdr:col>16</xdr:col>
      <xdr:colOff>1016908</xdr:colOff>
      <xdr:row>529</xdr:row>
      <xdr:rowOff>173945</xdr:rowOff>
    </xdr:to>
    <xdr:sp macro="" textlink="">
      <xdr:nvSpPr>
        <xdr:cNvPr id="48" name="Rektangel: øverste hjørner afrundet 107">
          <a:extLst>
            <a:ext uri="{FF2B5EF4-FFF2-40B4-BE49-F238E27FC236}">
              <a16:creationId xmlns:a16="http://schemas.microsoft.com/office/drawing/2014/main" id="{D2A9DE7B-DA34-4F8D-8064-8E0301AC767D}"/>
            </a:ext>
          </a:extLst>
        </xdr:cNvPr>
        <xdr:cNvSpPr/>
      </xdr:nvSpPr>
      <xdr:spPr>
        <a:xfrm>
          <a:off x="17258105" y="128647412"/>
          <a:ext cx="3965410" cy="2549712"/>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31462</xdr:colOff>
      <xdr:row>523</xdr:row>
      <xdr:rowOff>61314</xdr:rowOff>
    </xdr:from>
    <xdr:to>
      <xdr:col>10</xdr:col>
      <xdr:colOff>868755</xdr:colOff>
      <xdr:row>529</xdr:row>
      <xdr:rowOff>175820</xdr:rowOff>
    </xdr:to>
    <xdr:sp macro="" textlink="">
      <xdr:nvSpPr>
        <xdr:cNvPr id="50" name="Rektangel: øverste hjørner afrundet 23">
          <a:extLst>
            <a:ext uri="{FF2B5EF4-FFF2-40B4-BE49-F238E27FC236}">
              <a16:creationId xmlns:a16="http://schemas.microsoft.com/office/drawing/2014/main" id="{D8A1CEA0-F4AD-4468-A315-612B7480E857}"/>
            </a:ext>
          </a:extLst>
        </xdr:cNvPr>
        <xdr:cNvSpPr/>
      </xdr:nvSpPr>
      <xdr:spPr>
        <a:xfrm>
          <a:off x="9597283" y="129043421"/>
          <a:ext cx="4987472" cy="2155578"/>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oneCellAnchor>
    <xdr:from>
      <xdr:col>1</xdr:col>
      <xdr:colOff>220245</xdr:colOff>
      <xdr:row>520</xdr:row>
      <xdr:rowOff>383474</xdr:rowOff>
    </xdr:from>
    <xdr:ext cx="3089065" cy="2743693"/>
    <xdr:pic>
      <xdr:nvPicPr>
        <xdr:cNvPr id="64" name="Billede 205">
          <a:extLst>
            <a:ext uri="{FF2B5EF4-FFF2-40B4-BE49-F238E27FC236}">
              <a16:creationId xmlns:a16="http://schemas.microsoft.com/office/drawing/2014/main" id="{72656073-9427-4B79-B60E-56CF90B3F537}"/>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86844" t="-1132" r="309" b="1132"/>
        <a:stretch/>
      </xdr:blipFill>
      <xdr:spPr>
        <a:xfrm>
          <a:off x="826381" y="127620156"/>
          <a:ext cx="3089065" cy="2743693"/>
        </a:xfrm>
        <a:prstGeom prst="rect">
          <a:avLst/>
        </a:prstGeom>
      </xdr:spPr>
    </xdr:pic>
    <xdr:clientData/>
  </xdr:oneCellAnchor>
  <xdr:twoCellAnchor editAs="oneCell">
    <xdr:from>
      <xdr:col>15</xdr:col>
      <xdr:colOff>556918</xdr:colOff>
      <xdr:row>8</xdr:row>
      <xdr:rowOff>161842</xdr:rowOff>
    </xdr:from>
    <xdr:to>
      <xdr:col>18</xdr:col>
      <xdr:colOff>982035</xdr:colOff>
      <xdr:row>15</xdr:row>
      <xdr:rowOff>8969</xdr:rowOff>
    </xdr:to>
    <xdr:pic>
      <xdr:nvPicPr>
        <xdr:cNvPr id="42" name="Picture 41">
          <a:hlinkClick xmlns:r="http://schemas.openxmlformats.org/officeDocument/2006/relationships" r:id="rId84"/>
          <a:extLst>
            <a:ext uri="{FF2B5EF4-FFF2-40B4-BE49-F238E27FC236}">
              <a16:creationId xmlns:a16="http://schemas.microsoft.com/office/drawing/2014/main" id="{D17E8EC1-5635-5701-433F-71FE6ED63B14}"/>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9863360" y="1224246"/>
          <a:ext cx="3817483" cy="1252919"/>
        </a:xfrm>
        <a:prstGeom prst="rect">
          <a:avLst/>
        </a:prstGeom>
      </xdr:spPr>
    </xdr:pic>
    <xdr:clientData/>
  </xdr:twoCellAnchor>
  <xdr:twoCellAnchor>
    <xdr:from>
      <xdr:col>18</xdr:col>
      <xdr:colOff>1117460</xdr:colOff>
      <xdr:row>20</xdr:row>
      <xdr:rowOff>57015</xdr:rowOff>
    </xdr:from>
    <xdr:to>
      <xdr:col>18</xdr:col>
      <xdr:colOff>1363297</xdr:colOff>
      <xdr:row>20</xdr:row>
      <xdr:rowOff>394017</xdr:rowOff>
    </xdr:to>
    <xdr:sp macro="" textlink="">
      <xdr:nvSpPr>
        <xdr:cNvPr id="5" name="TextBox 4">
          <a:extLst>
            <a:ext uri="{FF2B5EF4-FFF2-40B4-BE49-F238E27FC236}">
              <a16:creationId xmlns:a16="http://schemas.microsoft.com/office/drawing/2014/main" id="{DE88C50C-B658-43C0-BC74-B94A4EF2B223}"/>
            </a:ext>
          </a:extLst>
        </xdr:cNvPr>
        <xdr:cNvSpPr txBox="1"/>
      </xdr:nvSpPr>
      <xdr:spPr>
        <a:xfrm>
          <a:off x="23828373" y="4330841"/>
          <a:ext cx="245837" cy="337002"/>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ysClr val="windowText" lastClr="000000"/>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editAs="oneCell">
    <xdr:from>
      <xdr:col>1</xdr:col>
      <xdr:colOff>437165</xdr:colOff>
      <xdr:row>495</xdr:row>
      <xdr:rowOff>143123</xdr:rowOff>
    </xdr:from>
    <xdr:to>
      <xdr:col>2</xdr:col>
      <xdr:colOff>465364</xdr:colOff>
      <xdr:row>502</xdr:row>
      <xdr:rowOff>295276</xdr:rowOff>
    </xdr:to>
    <xdr:pic>
      <xdr:nvPicPr>
        <xdr:cNvPr id="43" name="Picture 42">
          <a:extLst>
            <a:ext uri="{FF2B5EF4-FFF2-40B4-BE49-F238E27FC236}">
              <a16:creationId xmlns:a16="http://schemas.microsoft.com/office/drawing/2014/main" id="{1FB70E30-34AA-F799-95FB-93978AD62AF4}"/>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035879" y="118715766"/>
          <a:ext cx="2647121" cy="2622305"/>
        </a:xfrm>
        <a:prstGeom prst="rect">
          <a:avLst/>
        </a:prstGeom>
      </xdr:spPr>
    </xdr:pic>
    <xdr:clientData/>
  </xdr:twoCellAnchor>
  <xdr:twoCellAnchor editAs="oneCell">
    <xdr:from>
      <xdr:col>2</xdr:col>
      <xdr:colOff>223340</xdr:colOff>
      <xdr:row>9</xdr:row>
      <xdr:rowOff>17223</xdr:rowOff>
    </xdr:from>
    <xdr:to>
      <xdr:col>3</xdr:col>
      <xdr:colOff>1247689</xdr:colOff>
      <xdr:row>14</xdr:row>
      <xdr:rowOff>168577</xdr:rowOff>
    </xdr:to>
    <xdr:pic>
      <xdr:nvPicPr>
        <xdr:cNvPr id="66" name="Graphic 65">
          <a:hlinkClick xmlns:r="http://schemas.openxmlformats.org/officeDocument/2006/relationships" r:id="rId87"/>
          <a:extLst>
            <a:ext uri="{FF2B5EF4-FFF2-40B4-BE49-F238E27FC236}">
              <a16:creationId xmlns:a16="http://schemas.microsoft.com/office/drawing/2014/main" id="{3F194F96-B18B-E2A5-AF02-AC7E9B4E02D5}"/>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 uri="{96DAC541-7B7A-43D3-8B79-37D633B846F1}">
              <asvg:svgBlip xmlns:asvg="http://schemas.microsoft.com/office/drawing/2016/SVG/main" r:embed="rId89"/>
            </a:ext>
          </a:extLst>
        </a:blip>
        <a:stretch>
          <a:fillRect/>
        </a:stretch>
      </xdr:blipFill>
      <xdr:spPr>
        <a:xfrm>
          <a:off x="3445965" y="1287223"/>
          <a:ext cx="1948274" cy="1199104"/>
        </a:xfrm>
        <a:prstGeom prst="rect">
          <a:avLst/>
        </a:prstGeom>
      </xdr:spPr>
    </xdr:pic>
    <xdr:clientData/>
  </xdr:twoCellAnchor>
  <xdr:twoCellAnchor>
    <xdr:from>
      <xdr:col>6</xdr:col>
      <xdr:colOff>173003</xdr:colOff>
      <xdr:row>28</xdr:row>
      <xdr:rowOff>16272</xdr:rowOff>
    </xdr:from>
    <xdr:to>
      <xdr:col>6</xdr:col>
      <xdr:colOff>439703</xdr:colOff>
      <xdr:row>28</xdr:row>
      <xdr:rowOff>282972</xdr:rowOff>
    </xdr:to>
    <xdr:sp macro="" textlink="">
      <xdr:nvSpPr>
        <xdr:cNvPr id="90" name="Oval 89">
          <a:hlinkClick xmlns:r="http://schemas.openxmlformats.org/officeDocument/2006/relationships" r:id="rId62"/>
          <a:extLst>
            <a:ext uri="{FF2B5EF4-FFF2-40B4-BE49-F238E27FC236}">
              <a16:creationId xmlns:a16="http://schemas.microsoft.com/office/drawing/2014/main" id="{FEEA9BC6-1559-47E2-B6D3-2DE97938D2BC}"/>
            </a:ext>
          </a:extLst>
        </xdr:cNvPr>
        <xdr:cNvSpPr/>
      </xdr:nvSpPr>
      <xdr:spPr>
        <a:xfrm>
          <a:off x="8545478" y="7512447"/>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169828</xdr:colOff>
      <xdr:row>29</xdr:row>
      <xdr:rowOff>25400</xdr:rowOff>
    </xdr:from>
    <xdr:to>
      <xdr:col>6</xdr:col>
      <xdr:colOff>436528</xdr:colOff>
      <xdr:row>29</xdr:row>
      <xdr:rowOff>292100</xdr:rowOff>
    </xdr:to>
    <xdr:sp macro="" textlink="">
      <xdr:nvSpPr>
        <xdr:cNvPr id="91" name="Oval 90">
          <a:hlinkClick xmlns:r="http://schemas.openxmlformats.org/officeDocument/2006/relationships" r:id="rId63"/>
          <a:extLst>
            <a:ext uri="{FF2B5EF4-FFF2-40B4-BE49-F238E27FC236}">
              <a16:creationId xmlns:a16="http://schemas.microsoft.com/office/drawing/2014/main" id="{70E3C3FE-4BFB-4B83-A781-34358E8F590C}"/>
            </a:ext>
          </a:extLst>
        </xdr:cNvPr>
        <xdr:cNvSpPr/>
      </xdr:nvSpPr>
      <xdr:spPr>
        <a:xfrm>
          <a:off x="8542303" y="7835900"/>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173003</xdr:colOff>
      <xdr:row>30</xdr:row>
      <xdr:rowOff>28177</xdr:rowOff>
    </xdr:from>
    <xdr:to>
      <xdr:col>6</xdr:col>
      <xdr:colOff>439703</xdr:colOff>
      <xdr:row>30</xdr:row>
      <xdr:rowOff>294877</xdr:rowOff>
    </xdr:to>
    <xdr:sp macro="" textlink="">
      <xdr:nvSpPr>
        <xdr:cNvPr id="101" name="Oval 100">
          <a:hlinkClick xmlns:r="http://schemas.openxmlformats.org/officeDocument/2006/relationships" r:id="rId78"/>
          <a:extLst>
            <a:ext uri="{FF2B5EF4-FFF2-40B4-BE49-F238E27FC236}">
              <a16:creationId xmlns:a16="http://schemas.microsoft.com/office/drawing/2014/main" id="{BE160A92-78B5-4EF0-9943-318D80977521}"/>
            </a:ext>
          </a:extLst>
        </xdr:cNvPr>
        <xdr:cNvSpPr/>
      </xdr:nvSpPr>
      <xdr:spPr>
        <a:xfrm>
          <a:off x="8545478" y="8153002"/>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173003</xdr:colOff>
      <xdr:row>31</xdr:row>
      <xdr:rowOff>28575</xdr:rowOff>
    </xdr:from>
    <xdr:to>
      <xdr:col>6</xdr:col>
      <xdr:colOff>439703</xdr:colOff>
      <xdr:row>31</xdr:row>
      <xdr:rowOff>295275</xdr:rowOff>
    </xdr:to>
    <xdr:sp macro="" textlink="">
      <xdr:nvSpPr>
        <xdr:cNvPr id="102" name="Oval 101">
          <a:hlinkClick xmlns:r="http://schemas.openxmlformats.org/officeDocument/2006/relationships" r:id="rId65"/>
          <a:extLst>
            <a:ext uri="{FF2B5EF4-FFF2-40B4-BE49-F238E27FC236}">
              <a16:creationId xmlns:a16="http://schemas.microsoft.com/office/drawing/2014/main" id="{D3E91631-D4AD-464C-9D61-0D5C7FE902F7}"/>
            </a:ext>
          </a:extLst>
        </xdr:cNvPr>
        <xdr:cNvSpPr/>
      </xdr:nvSpPr>
      <xdr:spPr>
        <a:xfrm>
          <a:off x="8545478" y="8467725"/>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169828</xdr:colOff>
      <xdr:row>32</xdr:row>
      <xdr:rowOff>25400</xdr:rowOff>
    </xdr:from>
    <xdr:to>
      <xdr:col>6</xdr:col>
      <xdr:colOff>436528</xdr:colOff>
      <xdr:row>32</xdr:row>
      <xdr:rowOff>292100</xdr:rowOff>
    </xdr:to>
    <xdr:sp macro="" textlink="">
      <xdr:nvSpPr>
        <xdr:cNvPr id="106" name="Oval 105">
          <a:hlinkClick xmlns:r="http://schemas.openxmlformats.org/officeDocument/2006/relationships" r:id="rId66"/>
          <a:extLst>
            <a:ext uri="{FF2B5EF4-FFF2-40B4-BE49-F238E27FC236}">
              <a16:creationId xmlns:a16="http://schemas.microsoft.com/office/drawing/2014/main" id="{7E57EFD2-D51F-4B26-8516-0148BA963B98}"/>
            </a:ext>
          </a:extLst>
        </xdr:cNvPr>
        <xdr:cNvSpPr/>
      </xdr:nvSpPr>
      <xdr:spPr>
        <a:xfrm>
          <a:off x="8542303" y="8778875"/>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173003</xdr:colOff>
      <xdr:row>33</xdr:row>
      <xdr:rowOff>180440</xdr:rowOff>
    </xdr:from>
    <xdr:to>
      <xdr:col>6</xdr:col>
      <xdr:colOff>439703</xdr:colOff>
      <xdr:row>34</xdr:row>
      <xdr:rowOff>132401</xdr:rowOff>
    </xdr:to>
    <xdr:sp macro="" textlink="">
      <xdr:nvSpPr>
        <xdr:cNvPr id="108" name="Oval 107">
          <a:hlinkClick xmlns:r="http://schemas.openxmlformats.org/officeDocument/2006/relationships" r:id="rId64"/>
          <a:extLst>
            <a:ext uri="{FF2B5EF4-FFF2-40B4-BE49-F238E27FC236}">
              <a16:creationId xmlns:a16="http://schemas.microsoft.com/office/drawing/2014/main" id="{336A0C18-D93E-4F3D-B86F-C07FB47BA5BA}"/>
            </a:ext>
          </a:extLst>
        </xdr:cNvPr>
        <xdr:cNvSpPr/>
      </xdr:nvSpPr>
      <xdr:spPr>
        <a:xfrm>
          <a:off x="8546720" y="9233331"/>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173003</xdr:colOff>
      <xdr:row>27</xdr:row>
      <xdr:rowOff>16271</xdr:rowOff>
    </xdr:from>
    <xdr:to>
      <xdr:col>6</xdr:col>
      <xdr:colOff>439703</xdr:colOff>
      <xdr:row>27</xdr:row>
      <xdr:rowOff>286146</xdr:rowOff>
    </xdr:to>
    <xdr:sp macro="" textlink="">
      <xdr:nvSpPr>
        <xdr:cNvPr id="112" name="Oval 111">
          <a:hlinkClick xmlns:r="http://schemas.openxmlformats.org/officeDocument/2006/relationships" r:id="rId60"/>
          <a:extLst>
            <a:ext uri="{FF2B5EF4-FFF2-40B4-BE49-F238E27FC236}">
              <a16:creationId xmlns:a16="http://schemas.microsoft.com/office/drawing/2014/main" id="{0FB9FBC6-643C-4394-91A2-F7196D581DE6}"/>
            </a:ext>
          </a:extLst>
        </xdr:cNvPr>
        <xdr:cNvSpPr/>
      </xdr:nvSpPr>
      <xdr:spPr>
        <a:xfrm>
          <a:off x="8545478" y="7198121"/>
          <a:ext cx="266700" cy="269875"/>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174235</xdr:colOff>
      <xdr:row>40</xdr:row>
      <xdr:rowOff>199383</xdr:rowOff>
    </xdr:from>
    <xdr:to>
      <xdr:col>6</xdr:col>
      <xdr:colOff>440935</xdr:colOff>
      <xdr:row>41</xdr:row>
      <xdr:rowOff>144423</xdr:rowOff>
    </xdr:to>
    <xdr:sp macro="" textlink="">
      <xdr:nvSpPr>
        <xdr:cNvPr id="116" name="Oval 115">
          <a:hlinkClick xmlns:r="http://schemas.openxmlformats.org/officeDocument/2006/relationships" r:id="rId90"/>
          <a:extLst>
            <a:ext uri="{FF2B5EF4-FFF2-40B4-BE49-F238E27FC236}">
              <a16:creationId xmlns:a16="http://schemas.microsoft.com/office/drawing/2014/main" id="{C4D7F77A-EBDC-4ED1-A4DD-374EC941C304}"/>
            </a:ext>
          </a:extLst>
        </xdr:cNvPr>
        <xdr:cNvSpPr/>
      </xdr:nvSpPr>
      <xdr:spPr>
        <a:xfrm>
          <a:off x="8546710" y="11248383"/>
          <a:ext cx="266700" cy="259365"/>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171060</xdr:colOff>
      <xdr:row>45</xdr:row>
      <xdr:rowOff>212520</xdr:rowOff>
    </xdr:from>
    <xdr:to>
      <xdr:col>6</xdr:col>
      <xdr:colOff>437760</xdr:colOff>
      <xdr:row>46</xdr:row>
      <xdr:rowOff>160735</xdr:rowOff>
    </xdr:to>
    <xdr:sp macro="" textlink="">
      <xdr:nvSpPr>
        <xdr:cNvPr id="119" name="Oval 118">
          <a:hlinkClick xmlns:r="http://schemas.openxmlformats.org/officeDocument/2006/relationships" r:id="rId76"/>
          <a:extLst>
            <a:ext uri="{FF2B5EF4-FFF2-40B4-BE49-F238E27FC236}">
              <a16:creationId xmlns:a16="http://schemas.microsoft.com/office/drawing/2014/main" id="{E2281864-7D40-431F-ADE0-28A765FA1736}"/>
            </a:ext>
          </a:extLst>
        </xdr:cNvPr>
        <xdr:cNvSpPr/>
      </xdr:nvSpPr>
      <xdr:spPr>
        <a:xfrm>
          <a:off x="8543535" y="12833145"/>
          <a:ext cx="266700" cy="26254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3</xdr:col>
      <xdr:colOff>284800</xdr:colOff>
      <xdr:row>64</xdr:row>
      <xdr:rowOff>231382</xdr:rowOff>
    </xdr:from>
    <xdr:to>
      <xdr:col>3</xdr:col>
      <xdr:colOff>1417349</xdr:colOff>
      <xdr:row>68</xdr:row>
      <xdr:rowOff>108884</xdr:rowOff>
    </xdr:to>
    <xdr:sp macro="" textlink="">
      <xdr:nvSpPr>
        <xdr:cNvPr id="124" name="Oval 123">
          <a:hlinkClick xmlns:r="http://schemas.openxmlformats.org/officeDocument/2006/relationships" r:id="rId91"/>
          <a:extLst>
            <a:ext uri="{FF2B5EF4-FFF2-40B4-BE49-F238E27FC236}">
              <a16:creationId xmlns:a16="http://schemas.microsoft.com/office/drawing/2014/main" id="{0B8F3447-7E76-4D74-9898-560EFF69B704}"/>
            </a:ext>
          </a:extLst>
        </xdr:cNvPr>
        <xdr:cNvSpPr/>
      </xdr:nvSpPr>
      <xdr:spPr>
        <a:xfrm>
          <a:off x="4430976" y="17690147"/>
          <a:ext cx="1132549" cy="1132561"/>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132</xdr:row>
      <xdr:rowOff>56099</xdr:rowOff>
    </xdr:from>
    <xdr:to>
      <xdr:col>3</xdr:col>
      <xdr:colOff>1428195</xdr:colOff>
      <xdr:row>135</xdr:row>
      <xdr:rowOff>245164</xdr:rowOff>
    </xdr:to>
    <xdr:sp macro="" textlink="">
      <xdr:nvSpPr>
        <xdr:cNvPr id="128" name="Oval 127">
          <a:hlinkClick xmlns:r="http://schemas.openxmlformats.org/officeDocument/2006/relationships" r:id="rId91"/>
          <a:extLst>
            <a:ext uri="{FF2B5EF4-FFF2-40B4-BE49-F238E27FC236}">
              <a16:creationId xmlns:a16="http://schemas.microsoft.com/office/drawing/2014/main" id="{0E508020-AC96-4083-AF51-0BF42434B9B6}"/>
            </a:ext>
          </a:extLst>
        </xdr:cNvPr>
        <xdr:cNvSpPr/>
      </xdr:nvSpPr>
      <xdr:spPr>
        <a:xfrm>
          <a:off x="4427425" y="31546577"/>
          <a:ext cx="1142074" cy="1133283"/>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192</xdr:row>
      <xdr:rowOff>292427</xdr:rowOff>
    </xdr:from>
    <xdr:to>
      <xdr:col>3</xdr:col>
      <xdr:colOff>1418670</xdr:colOff>
      <xdr:row>195</xdr:row>
      <xdr:rowOff>468793</xdr:rowOff>
    </xdr:to>
    <xdr:sp macro="" textlink="">
      <xdr:nvSpPr>
        <xdr:cNvPr id="130" name="Oval 129">
          <a:hlinkClick xmlns:r="http://schemas.openxmlformats.org/officeDocument/2006/relationships" r:id="rId91"/>
          <a:extLst>
            <a:ext uri="{FF2B5EF4-FFF2-40B4-BE49-F238E27FC236}">
              <a16:creationId xmlns:a16="http://schemas.microsoft.com/office/drawing/2014/main" id="{672C2F71-7067-4B0D-B853-375C04EE8A0F}"/>
            </a:ext>
          </a:extLst>
        </xdr:cNvPr>
        <xdr:cNvSpPr/>
      </xdr:nvSpPr>
      <xdr:spPr>
        <a:xfrm>
          <a:off x="4436300" y="44678927"/>
          <a:ext cx="1132549" cy="1115259"/>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252</xdr:row>
      <xdr:rowOff>264405</xdr:rowOff>
    </xdr:from>
    <xdr:to>
      <xdr:col>3</xdr:col>
      <xdr:colOff>1451924</xdr:colOff>
      <xdr:row>255</xdr:row>
      <xdr:rowOff>489857</xdr:rowOff>
    </xdr:to>
    <xdr:sp macro="" textlink="">
      <xdr:nvSpPr>
        <xdr:cNvPr id="144" name="Oval 143">
          <a:hlinkClick xmlns:r="http://schemas.openxmlformats.org/officeDocument/2006/relationships" r:id="rId91"/>
          <a:extLst>
            <a:ext uri="{FF2B5EF4-FFF2-40B4-BE49-F238E27FC236}">
              <a16:creationId xmlns:a16="http://schemas.microsoft.com/office/drawing/2014/main" id="{46ED5634-C2D9-46AB-B064-D814DB43F9A5}"/>
            </a:ext>
          </a:extLst>
        </xdr:cNvPr>
        <xdr:cNvSpPr/>
      </xdr:nvSpPr>
      <xdr:spPr>
        <a:xfrm>
          <a:off x="4436300" y="57618512"/>
          <a:ext cx="1165803" cy="1164345"/>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277</xdr:row>
      <xdr:rowOff>206425</xdr:rowOff>
    </xdr:from>
    <xdr:to>
      <xdr:col>3</xdr:col>
      <xdr:colOff>1474855</xdr:colOff>
      <xdr:row>280</xdr:row>
      <xdr:rowOff>448235</xdr:rowOff>
    </xdr:to>
    <xdr:sp macro="" textlink="">
      <xdr:nvSpPr>
        <xdr:cNvPr id="145" name="Oval 144">
          <a:hlinkClick xmlns:r="http://schemas.openxmlformats.org/officeDocument/2006/relationships" r:id="rId91"/>
          <a:extLst>
            <a:ext uri="{FF2B5EF4-FFF2-40B4-BE49-F238E27FC236}">
              <a16:creationId xmlns:a16="http://schemas.microsoft.com/office/drawing/2014/main" id="{F03C0CCD-75BC-430F-A3BF-656C5E4147A5}"/>
            </a:ext>
          </a:extLst>
        </xdr:cNvPr>
        <xdr:cNvSpPr/>
      </xdr:nvSpPr>
      <xdr:spPr>
        <a:xfrm>
          <a:off x="4432297" y="65267778"/>
          <a:ext cx="1188734" cy="1183104"/>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334</xdr:row>
      <xdr:rowOff>302643</xdr:rowOff>
    </xdr:from>
    <xdr:to>
      <xdr:col>3</xdr:col>
      <xdr:colOff>1418670</xdr:colOff>
      <xdr:row>337</xdr:row>
      <xdr:rowOff>488533</xdr:rowOff>
    </xdr:to>
    <xdr:sp macro="" textlink="">
      <xdr:nvSpPr>
        <xdr:cNvPr id="149" name="Oval 148">
          <a:hlinkClick xmlns:r="http://schemas.openxmlformats.org/officeDocument/2006/relationships" r:id="rId91"/>
          <a:extLst>
            <a:ext uri="{FF2B5EF4-FFF2-40B4-BE49-F238E27FC236}">
              <a16:creationId xmlns:a16="http://schemas.microsoft.com/office/drawing/2014/main" id="{19E4B475-762E-4A65-931F-96EF57621399}"/>
            </a:ext>
          </a:extLst>
        </xdr:cNvPr>
        <xdr:cNvSpPr/>
      </xdr:nvSpPr>
      <xdr:spPr>
        <a:xfrm>
          <a:off x="4427425" y="77446860"/>
          <a:ext cx="1132549" cy="1130108"/>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394</xdr:row>
      <xdr:rowOff>236383</xdr:rowOff>
    </xdr:from>
    <xdr:to>
      <xdr:col>3</xdr:col>
      <xdr:colOff>1418670</xdr:colOff>
      <xdr:row>397</xdr:row>
      <xdr:rowOff>422273</xdr:rowOff>
    </xdr:to>
    <xdr:sp macro="" textlink="">
      <xdr:nvSpPr>
        <xdr:cNvPr id="150" name="Oval 149">
          <a:hlinkClick xmlns:r="http://schemas.openxmlformats.org/officeDocument/2006/relationships" r:id="rId91"/>
          <a:extLst>
            <a:ext uri="{FF2B5EF4-FFF2-40B4-BE49-F238E27FC236}">
              <a16:creationId xmlns:a16="http://schemas.microsoft.com/office/drawing/2014/main" id="{09B4B9C7-9CF3-43F4-AC51-64F3033AAAFB}"/>
            </a:ext>
          </a:extLst>
        </xdr:cNvPr>
        <xdr:cNvSpPr/>
      </xdr:nvSpPr>
      <xdr:spPr>
        <a:xfrm>
          <a:off x="4427425" y="90226926"/>
          <a:ext cx="1132549" cy="1130108"/>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455</xdr:row>
      <xdr:rowOff>221749</xdr:rowOff>
    </xdr:from>
    <xdr:to>
      <xdr:col>3</xdr:col>
      <xdr:colOff>1418670</xdr:colOff>
      <xdr:row>458</xdr:row>
      <xdr:rowOff>426690</xdr:rowOff>
    </xdr:to>
    <xdr:sp macro="" textlink="">
      <xdr:nvSpPr>
        <xdr:cNvPr id="151" name="Oval 150">
          <a:hlinkClick xmlns:r="http://schemas.openxmlformats.org/officeDocument/2006/relationships" r:id="rId91"/>
          <a:extLst>
            <a:ext uri="{FF2B5EF4-FFF2-40B4-BE49-F238E27FC236}">
              <a16:creationId xmlns:a16="http://schemas.microsoft.com/office/drawing/2014/main" id="{A3C3E264-1AB1-4CE6-B578-8F27B6A00A9A}"/>
            </a:ext>
          </a:extLst>
        </xdr:cNvPr>
        <xdr:cNvSpPr/>
      </xdr:nvSpPr>
      <xdr:spPr>
        <a:xfrm>
          <a:off x="4427425" y="103017206"/>
          <a:ext cx="1132549" cy="1149158"/>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499</xdr:row>
      <xdr:rowOff>115255</xdr:rowOff>
    </xdr:from>
    <xdr:to>
      <xdr:col>3</xdr:col>
      <xdr:colOff>1479177</xdr:colOff>
      <xdr:row>502</xdr:row>
      <xdr:rowOff>267764</xdr:rowOff>
    </xdr:to>
    <xdr:sp macro="" textlink="">
      <xdr:nvSpPr>
        <xdr:cNvPr id="152" name="Oval 151">
          <a:hlinkClick xmlns:r="http://schemas.openxmlformats.org/officeDocument/2006/relationships" r:id="rId91"/>
          <a:extLst>
            <a:ext uri="{FF2B5EF4-FFF2-40B4-BE49-F238E27FC236}">
              <a16:creationId xmlns:a16="http://schemas.microsoft.com/office/drawing/2014/main" id="{27DA080E-0C59-44AC-A467-9318BD8CB47B}"/>
            </a:ext>
          </a:extLst>
        </xdr:cNvPr>
        <xdr:cNvSpPr/>
      </xdr:nvSpPr>
      <xdr:spPr>
        <a:xfrm>
          <a:off x="4425166" y="119662664"/>
          <a:ext cx="1193056" cy="11916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524</xdr:row>
      <xdr:rowOff>276555</xdr:rowOff>
    </xdr:from>
    <xdr:to>
      <xdr:col>3</xdr:col>
      <xdr:colOff>1418670</xdr:colOff>
      <xdr:row>528</xdr:row>
      <xdr:rowOff>81446</xdr:rowOff>
    </xdr:to>
    <xdr:sp macro="" textlink="">
      <xdr:nvSpPr>
        <xdr:cNvPr id="153" name="Oval 152">
          <a:hlinkClick xmlns:r="http://schemas.openxmlformats.org/officeDocument/2006/relationships" r:id="rId91"/>
          <a:extLst>
            <a:ext uri="{FF2B5EF4-FFF2-40B4-BE49-F238E27FC236}">
              <a16:creationId xmlns:a16="http://schemas.microsoft.com/office/drawing/2014/main" id="{1472208E-0AEC-4F9B-927A-46E8930D09B9}"/>
            </a:ext>
          </a:extLst>
        </xdr:cNvPr>
        <xdr:cNvSpPr/>
      </xdr:nvSpPr>
      <xdr:spPr>
        <a:xfrm>
          <a:off x="4427425" y="129187077"/>
          <a:ext cx="1132549" cy="1130108"/>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6</xdr:col>
      <xdr:colOff>105741</xdr:colOff>
      <xdr:row>24</xdr:row>
      <xdr:rowOff>435803</xdr:rowOff>
    </xdr:from>
    <xdr:to>
      <xdr:col>6</xdr:col>
      <xdr:colOff>1051891</xdr:colOff>
      <xdr:row>26</xdr:row>
      <xdr:rowOff>166710</xdr:rowOff>
    </xdr:to>
    <xdr:sp macro="" textlink="">
      <xdr:nvSpPr>
        <xdr:cNvPr id="156" name="Speech Bubble: Oval 155">
          <a:hlinkClick xmlns:r="http://schemas.openxmlformats.org/officeDocument/2006/relationships" r:id="rId91"/>
          <a:extLst>
            <a:ext uri="{FF2B5EF4-FFF2-40B4-BE49-F238E27FC236}">
              <a16:creationId xmlns:a16="http://schemas.microsoft.com/office/drawing/2014/main" id="{EF709955-70AC-ABD9-6D65-6F702A8911A5}"/>
            </a:ext>
          </a:extLst>
        </xdr:cNvPr>
        <xdr:cNvSpPr/>
      </xdr:nvSpPr>
      <xdr:spPr>
        <a:xfrm>
          <a:off x="8479458" y="6275042"/>
          <a:ext cx="946150" cy="741385"/>
        </a:xfrm>
        <a:prstGeom prst="wedgeEllipseCallou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100">
              <a:solidFill>
                <a:sysClr val="windowText" lastClr="000000"/>
              </a:solidFill>
            </a:rPr>
            <a:t>Genvej!</a:t>
          </a:r>
        </a:p>
      </xdr:txBody>
    </xdr:sp>
    <xdr:clientData/>
  </xdr:twoCellAnchor>
  <xdr:twoCellAnchor>
    <xdr:from>
      <xdr:col>6</xdr:col>
      <xdr:colOff>172994</xdr:colOff>
      <xdr:row>35</xdr:row>
      <xdr:rowOff>22915</xdr:rowOff>
    </xdr:from>
    <xdr:to>
      <xdr:col>6</xdr:col>
      <xdr:colOff>439694</xdr:colOff>
      <xdr:row>35</xdr:row>
      <xdr:rowOff>284784</xdr:rowOff>
    </xdr:to>
    <xdr:sp macro="" textlink="">
      <xdr:nvSpPr>
        <xdr:cNvPr id="36" name="Oval 35">
          <a:hlinkClick xmlns:r="http://schemas.openxmlformats.org/officeDocument/2006/relationships" r:id="rId90"/>
          <a:extLst>
            <a:ext uri="{FF2B5EF4-FFF2-40B4-BE49-F238E27FC236}">
              <a16:creationId xmlns:a16="http://schemas.microsoft.com/office/drawing/2014/main" id="{14E8228D-3BAD-422E-A24B-BFBD9401E6C3}"/>
            </a:ext>
          </a:extLst>
        </xdr:cNvPr>
        <xdr:cNvSpPr/>
      </xdr:nvSpPr>
      <xdr:spPr>
        <a:xfrm>
          <a:off x="8546711" y="9705285"/>
          <a:ext cx="266700" cy="261869"/>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1</xdr:col>
      <xdr:colOff>1133390</xdr:colOff>
      <xdr:row>510</xdr:row>
      <xdr:rowOff>140847</xdr:rowOff>
    </xdr:from>
    <xdr:to>
      <xdr:col>1</xdr:col>
      <xdr:colOff>2249390</xdr:colOff>
      <xdr:row>513</xdr:row>
      <xdr:rowOff>9938</xdr:rowOff>
    </xdr:to>
    <xdr:sp macro="" textlink="">
      <xdr:nvSpPr>
        <xdr:cNvPr id="44" name="Oval 43">
          <a:hlinkClick xmlns:r="http://schemas.openxmlformats.org/officeDocument/2006/relationships" r:id="rId92"/>
          <a:extLst>
            <a:ext uri="{FF2B5EF4-FFF2-40B4-BE49-F238E27FC236}">
              <a16:creationId xmlns:a16="http://schemas.microsoft.com/office/drawing/2014/main" id="{9BAD3AB3-BA3C-48F3-8495-1120D9698B43}"/>
            </a:ext>
          </a:extLst>
        </xdr:cNvPr>
        <xdr:cNvSpPr/>
      </xdr:nvSpPr>
      <xdr:spPr>
        <a:xfrm>
          <a:off x="1739526" y="123515574"/>
          <a:ext cx="1116000" cy="11160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100" b="1">
              <a:solidFill>
                <a:sysClr val="windowText" lastClr="000000"/>
              </a:solidFill>
            </a:rPr>
            <a:t>Angiv Solcelle</a:t>
          </a:r>
          <a:r>
            <a:rPr lang="da-DK" sz="1100" b="1" baseline="0">
              <a:solidFill>
                <a:sysClr val="windowText" lastClr="000000"/>
              </a:solidFill>
            </a:rPr>
            <a:t> EPD</a:t>
          </a:r>
          <a:endParaRPr lang="da-DK" sz="1100" b="1">
            <a:solidFill>
              <a:sysClr val="windowText" lastClr="000000"/>
            </a:solidFill>
          </a:endParaRPr>
        </a:p>
      </xdr:txBody>
    </xdr:sp>
    <xdr:clientData/>
  </xdr:twoCellAnchor>
  <xdr:twoCellAnchor>
    <xdr:from>
      <xdr:col>17</xdr:col>
      <xdr:colOff>193673</xdr:colOff>
      <xdr:row>507</xdr:row>
      <xdr:rowOff>73933</xdr:rowOff>
    </xdr:from>
    <xdr:to>
      <xdr:col>18</xdr:col>
      <xdr:colOff>1370238</xdr:colOff>
      <xdr:row>516</xdr:row>
      <xdr:rowOff>258536</xdr:rowOff>
    </xdr:to>
    <xdr:graphicFrame macro="">
      <xdr:nvGraphicFramePr>
        <xdr:cNvPr id="67" name="Chart 66">
          <a:extLst>
            <a:ext uri="{FF2B5EF4-FFF2-40B4-BE49-F238E27FC236}">
              <a16:creationId xmlns:a16="http://schemas.microsoft.com/office/drawing/2014/main" id="{E3FD284E-ED73-CD00-0416-D3A10ECB8E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editAs="oneCell">
    <xdr:from>
      <xdr:col>17</xdr:col>
      <xdr:colOff>1070878</xdr:colOff>
      <xdr:row>504</xdr:row>
      <xdr:rowOff>253996</xdr:rowOff>
    </xdr:from>
    <xdr:to>
      <xdr:col>18</xdr:col>
      <xdr:colOff>417276</xdr:colOff>
      <xdr:row>506</xdr:row>
      <xdr:rowOff>276923</xdr:rowOff>
    </xdr:to>
    <xdr:pic>
      <xdr:nvPicPr>
        <xdr:cNvPr id="38" name="Picture 37">
          <a:extLst>
            <a:ext uri="{FF2B5EF4-FFF2-40B4-BE49-F238E27FC236}">
              <a16:creationId xmlns:a16="http://schemas.microsoft.com/office/drawing/2014/main" id="{8B313CCD-6DEA-432F-9611-62A1DEAB8C24}"/>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22261735" y="121983496"/>
          <a:ext cx="834112" cy="8302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26487</xdr:colOff>
      <xdr:row>83</xdr:row>
      <xdr:rowOff>104313</xdr:rowOff>
    </xdr:from>
    <xdr:to>
      <xdr:col>22</xdr:col>
      <xdr:colOff>874441</xdr:colOff>
      <xdr:row>158</xdr:row>
      <xdr:rowOff>157612</xdr:rowOff>
    </xdr:to>
    <xdr:pic>
      <xdr:nvPicPr>
        <xdr:cNvPr id="3" name="Billed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9827281" y="15176225"/>
          <a:ext cx="1818534" cy="2499454"/>
        </a:xfrm>
        <a:prstGeom prst="rect">
          <a:avLst/>
        </a:prstGeom>
      </xdr:spPr>
    </xdr:pic>
    <xdr:clientData/>
  </xdr:twoCellAnchor>
  <xdr:twoCellAnchor editAs="oneCell">
    <xdr:from>
      <xdr:col>19</xdr:col>
      <xdr:colOff>11206</xdr:colOff>
      <xdr:row>100</xdr:row>
      <xdr:rowOff>182497</xdr:rowOff>
    </xdr:from>
    <xdr:to>
      <xdr:col>22</xdr:col>
      <xdr:colOff>707643</xdr:colOff>
      <xdr:row>148</xdr:row>
      <xdr:rowOff>109440</xdr:rowOff>
    </xdr:to>
    <xdr:pic>
      <xdr:nvPicPr>
        <xdr:cNvPr id="4" name="Billed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7369118" y="19422997"/>
          <a:ext cx="3241632" cy="686020"/>
        </a:xfrm>
        <a:prstGeom prst="rect">
          <a:avLst/>
        </a:prstGeom>
      </xdr:spPr>
    </xdr:pic>
    <xdr:clientData/>
  </xdr:twoCellAnchor>
  <xdr:twoCellAnchor editAs="oneCell">
    <xdr:from>
      <xdr:col>25</xdr:col>
      <xdr:colOff>312967</xdr:colOff>
      <xdr:row>102</xdr:row>
      <xdr:rowOff>95251</xdr:rowOff>
    </xdr:from>
    <xdr:to>
      <xdr:col>29</xdr:col>
      <xdr:colOff>60146</xdr:colOff>
      <xdr:row>146</xdr:row>
      <xdr:rowOff>105157</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21771431" y="19526251"/>
          <a:ext cx="2596806" cy="300102"/>
        </a:xfrm>
        <a:prstGeom prst="rect">
          <a:avLst/>
        </a:prstGeom>
      </xdr:spPr>
    </xdr:pic>
    <xdr:clientData/>
  </xdr:twoCellAnchor>
  <xdr:twoCellAnchor editAs="oneCell">
    <xdr:from>
      <xdr:col>20</xdr:col>
      <xdr:colOff>4765</xdr:colOff>
      <xdr:row>133</xdr:row>
      <xdr:rowOff>54427</xdr:rowOff>
    </xdr:from>
    <xdr:to>
      <xdr:col>23</xdr:col>
      <xdr:colOff>59510</xdr:colOff>
      <xdr:row>153</xdr:row>
      <xdr:rowOff>164194</xdr:rowOff>
    </xdr:to>
    <xdr:pic>
      <xdr:nvPicPr>
        <xdr:cNvPr id="6" name="Billed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8115872" y="24628927"/>
          <a:ext cx="2843347" cy="1700894"/>
        </a:xfrm>
        <a:prstGeom prst="rect">
          <a:avLst/>
        </a:prstGeom>
      </xdr:spPr>
    </xdr:pic>
    <xdr:clientData/>
  </xdr:twoCellAnchor>
  <xdr:twoCellAnchor editAs="oneCell">
    <xdr:from>
      <xdr:col>14</xdr:col>
      <xdr:colOff>139539</xdr:colOff>
      <xdr:row>136</xdr:row>
      <xdr:rowOff>29547</xdr:rowOff>
    </xdr:from>
    <xdr:to>
      <xdr:col>16</xdr:col>
      <xdr:colOff>669691</xdr:colOff>
      <xdr:row>157</xdr:row>
      <xdr:rowOff>31298</xdr:rowOff>
    </xdr:to>
    <xdr:pic>
      <xdr:nvPicPr>
        <xdr:cNvPr id="2" name="Billed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a:stretch>
          <a:fillRect/>
        </a:stretch>
      </xdr:blipFill>
      <xdr:spPr>
        <a:xfrm>
          <a:off x="17875089" y="15231447"/>
          <a:ext cx="2336092" cy="2192838"/>
        </a:xfrm>
        <a:prstGeom prst="rect">
          <a:avLst/>
        </a:prstGeom>
      </xdr:spPr>
    </xdr:pic>
    <xdr:clientData/>
  </xdr:twoCellAnchor>
  <xdr:twoCellAnchor editAs="oneCell">
    <xdr:from>
      <xdr:col>11</xdr:col>
      <xdr:colOff>139961</xdr:colOff>
      <xdr:row>62</xdr:row>
      <xdr:rowOff>153708</xdr:rowOff>
    </xdr:from>
    <xdr:to>
      <xdr:col>15</xdr:col>
      <xdr:colOff>475474</xdr:colOff>
      <xdr:row>177</xdr:row>
      <xdr:rowOff>66778</xdr:rowOff>
    </xdr:to>
    <xdr:pic>
      <xdr:nvPicPr>
        <xdr:cNvPr id="8" name="Billed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a:stretch>
          <a:fillRect/>
        </a:stretch>
      </xdr:blipFill>
      <xdr:spPr>
        <a:xfrm>
          <a:off x="12690549" y="1946649"/>
          <a:ext cx="4112003" cy="57993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86471</xdr:rowOff>
    </xdr:from>
    <xdr:to>
      <xdr:col>14</xdr:col>
      <xdr:colOff>670672</xdr:colOff>
      <xdr:row>4</xdr:row>
      <xdr:rowOff>0</xdr:rowOff>
    </xdr:to>
    <xdr:sp macro="" textlink="">
      <xdr:nvSpPr>
        <xdr:cNvPr id="5" name="Tekstfelt 4">
          <a:extLst>
            <a:ext uri="{FF2B5EF4-FFF2-40B4-BE49-F238E27FC236}">
              <a16:creationId xmlns:a16="http://schemas.microsoft.com/office/drawing/2014/main" id="{00000000-0008-0000-0800-000005000000}"/>
            </a:ext>
          </a:extLst>
        </xdr:cNvPr>
        <xdr:cNvSpPr txBox="1"/>
      </xdr:nvSpPr>
      <xdr:spPr>
        <a:xfrm>
          <a:off x="414618" y="691589"/>
          <a:ext cx="17143319" cy="608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600">
              <a:solidFill>
                <a:sysClr val="windowText" lastClr="000000"/>
              </a:solidFill>
            </a:rPr>
            <a:t>På denne side kan den benyttede data for CO2 aftrykket for materialerne ses. Der er hovedsageligt taget udgangspunkt i generiske materialer, og dataen er baseret på Ökobaudata. Der er enkelte produktspecifikke EPD'er. Dette er tydeliggjort under fanen "Antagelser".</a:t>
          </a:r>
        </a:p>
      </xdr:txBody>
    </xdr:sp>
    <xdr:clientData/>
  </xdr:twoCellAnchor>
  <xdr:twoCellAnchor editAs="oneCell">
    <xdr:from>
      <xdr:col>22</xdr:col>
      <xdr:colOff>410588</xdr:colOff>
      <xdr:row>2</xdr:row>
      <xdr:rowOff>54553</xdr:rowOff>
    </xdr:from>
    <xdr:to>
      <xdr:col>23</xdr:col>
      <xdr:colOff>561949</xdr:colOff>
      <xdr:row>4</xdr:row>
      <xdr:rowOff>98312</xdr:rowOff>
    </xdr:to>
    <xdr:pic>
      <xdr:nvPicPr>
        <xdr:cNvPr id="6" name="Billed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90059" y="659671"/>
          <a:ext cx="2414949" cy="738523"/>
        </a:xfrm>
        <a:prstGeom prst="rect">
          <a:avLst/>
        </a:prstGeom>
      </xdr:spPr>
    </xdr:pic>
    <xdr:clientData/>
  </xdr:twoCellAnchor>
  <xdr:twoCellAnchor>
    <xdr:from>
      <xdr:col>30</xdr:col>
      <xdr:colOff>189057</xdr:colOff>
      <xdr:row>7</xdr:row>
      <xdr:rowOff>63499</xdr:rowOff>
    </xdr:from>
    <xdr:to>
      <xdr:col>37</xdr:col>
      <xdr:colOff>568036</xdr:colOff>
      <xdr:row>25</xdr:row>
      <xdr:rowOff>18142</xdr:rowOff>
    </xdr:to>
    <xdr:graphicFrame macro="">
      <xdr:nvGraphicFramePr>
        <xdr:cNvPr id="7" name="Diagram 6">
          <a:extLst>
            <a:ext uri="{FF2B5EF4-FFF2-40B4-BE49-F238E27FC236}">
              <a16:creationId xmlns:a16="http://schemas.microsoft.com/office/drawing/2014/main" id="{FC3AE029-F1B9-5FC7-FEA8-5B8B87F6FB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188700</xdr:colOff>
      <xdr:row>25</xdr:row>
      <xdr:rowOff>99919</xdr:rowOff>
    </xdr:from>
    <xdr:to>
      <xdr:col>37</xdr:col>
      <xdr:colOff>580668</xdr:colOff>
      <xdr:row>43</xdr:row>
      <xdr:rowOff>128494</xdr:rowOff>
    </xdr:to>
    <xdr:graphicFrame macro="">
      <xdr:nvGraphicFramePr>
        <xdr:cNvPr id="2" name="Diagram 1">
          <a:extLst>
            <a:ext uri="{FF2B5EF4-FFF2-40B4-BE49-F238E27FC236}">
              <a16:creationId xmlns:a16="http://schemas.microsoft.com/office/drawing/2014/main" id="{7DEC6FE8-D160-2B33-E345-2239791799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201401</xdr:colOff>
      <xdr:row>44</xdr:row>
      <xdr:rowOff>16061</xdr:rowOff>
    </xdr:from>
    <xdr:to>
      <xdr:col>37</xdr:col>
      <xdr:colOff>580668</xdr:colOff>
      <xdr:row>62</xdr:row>
      <xdr:rowOff>1120</xdr:rowOff>
    </xdr:to>
    <xdr:graphicFrame macro="">
      <xdr:nvGraphicFramePr>
        <xdr:cNvPr id="8" name="Diagram 7">
          <a:extLst>
            <a:ext uri="{FF2B5EF4-FFF2-40B4-BE49-F238E27FC236}">
              <a16:creationId xmlns:a16="http://schemas.microsoft.com/office/drawing/2014/main" id="{41E12254-DD43-7E88-2E34-B8DA986FBE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205255</xdr:colOff>
      <xdr:row>62</xdr:row>
      <xdr:rowOff>95624</xdr:rowOff>
    </xdr:from>
    <xdr:to>
      <xdr:col>37</xdr:col>
      <xdr:colOff>579905</xdr:colOff>
      <xdr:row>74</xdr:row>
      <xdr:rowOff>95623</xdr:rowOff>
    </xdr:to>
    <xdr:graphicFrame macro="">
      <xdr:nvGraphicFramePr>
        <xdr:cNvPr id="9" name="Diagram 8">
          <a:extLst>
            <a:ext uri="{FF2B5EF4-FFF2-40B4-BE49-F238E27FC236}">
              <a16:creationId xmlns:a16="http://schemas.microsoft.com/office/drawing/2014/main" id="{CFF6F4C9-1E6E-8D0F-14D0-A6CC06952E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209177</xdr:colOff>
      <xdr:row>74</xdr:row>
      <xdr:rowOff>171824</xdr:rowOff>
    </xdr:from>
    <xdr:to>
      <xdr:col>37</xdr:col>
      <xdr:colOff>552824</xdr:colOff>
      <xdr:row>86</xdr:row>
      <xdr:rowOff>29882</xdr:rowOff>
    </xdr:to>
    <xdr:graphicFrame macro="">
      <xdr:nvGraphicFramePr>
        <xdr:cNvPr id="10" name="Diagram 9">
          <a:extLst>
            <a:ext uri="{FF2B5EF4-FFF2-40B4-BE49-F238E27FC236}">
              <a16:creationId xmlns:a16="http://schemas.microsoft.com/office/drawing/2014/main" id="{2A26292D-16F5-C627-7581-4536602F22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218888</xdr:colOff>
      <xdr:row>86</xdr:row>
      <xdr:rowOff>104587</xdr:rowOff>
    </xdr:from>
    <xdr:to>
      <xdr:col>37</xdr:col>
      <xdr:colOff>515471</xdr:colOff>
      <xdr:row>103</xdr:row>
      <xdr:rowOff>16995</xdr:rowOff>
    </xdr:to>
    <xdr:graphicFrame macro="">
      <xdr:nvGraphicFramePr>
        <xdr:cNvPr id="11" name="Diagram 10">
          <a:extLst>
            <a:ext uri="{FF2B5EF4-FFF2-40B4-BE49-F238E27FC236}">
              <a16:creationId xmlns:a16="http://schemas.microsoft.com/office/drawing/2014/main" id="{53A331EA-515E-ADD4-602E-91BE0AD914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243168</xdr:colOff>
      <xdr:row>103</xdr:row>
      <xdr:rowOff>74706</xdr:rowOff>
    </xdr:from>
    <xdr:to>
      <xdr:col>37</xdr:col>
      <xdr:colOff>500530</xdr:colOff>
      <xdr:row>116</xdr:row>
      <xdr:rowOff>150347</xdr:rowOff>
    </xdr:to>
    <xdr:graphicFrame macro="">
      <xdr:nvGraphicFramePr>
        <xdr:cNvPr id="12" name="Diagram 11">
          <a:extLst>
            <a:ext uri="{FF2B5EF4-FFF2-40B4-BE49-F238E27FC236}">
              <a16:creationId xmlns:a16="http://schemas.microsoft.com/office/drawing/2014/main" id="{F13ED633-2A40-C7D0-5DBD-B7127CDC82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220025</xdr:colOff>
      <xdr:row>11</xdr:row>
      <xdr:rowOff>20209</xdr:rowOff>
    </xdr:from>
    <xdr:to>
      <xdr:col>13</xdr:col>
      <xdr:colOff>29526</xdr:colOff>
      <xdr:row>17</xdr:row>
      <xdr:rowOff>7509</xdr:rowOff>
    </xdr:to>
    <xdr:sp macro="" textlink="">
      <xdr:nvSpPr>
        <xdr:cNvPr id="15" name="Tekstfelt 2">
          <a:extLst>
            <a:ext uri="{FF2B5EF4-FFF2-40B4-BE49-F238E27FC236}">
              <a16:creationId xmlns:a16="http://schemas.microsoft.com/office/drawing/2014/main" id="{6BBC4712-22B5-4EB3-A73A-4FF60C108A63}"/>
            </a:ext>
          </a:extLst>
        </xdr:cNvPr>
        <xdr:cNvSpPr txBox="1"/>
      </xdr:nvSpPr>
      <xdr:spPr>
        <a:xfrm>
          <a:off x="14631350" y="2915809"/>
          <a:ext cx="2124076" cy="1073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100" b="1"/>
            <a:t>Tykkelsen er f.eks. baseret på fibercementpladen og ikke den underliggende konstruktion, da denne antages uændret ved variation på tykkelsen af hovedkomponenten.</a:t>
          </a:r>
        </a:p>
      </xdr:txBody>
    </xdr:sp>
    <xdr:clientData/>
  </xdr:twoCellAnchor>
  <xdr:twoCellAnchor>
    <xdr:from>
      <xdr:col>30</xdr:col>
      <xdr:colOff>261470</xdr:colOff>
      <xdr:row>117</xdr:row>
      <xdr:rowOff>104589</xdr:rowOff>
    </xdr:from>
    <xdr:to>
      <xdr:col>37</xdr:col>
      <xdr:colOff>518832</xdr:colOff>
      <xdr:row>134</xdr:row>
      <xdr:rowOff>157819</xdr:rowOff>
    </xdr:to>
    <xdr:graphicFrame macro="">
      <xdr:nvGraphicFramePr>
        <xdr:cNvPr id="4" name="Diagram 11">
          <a:extLst>
            <a:ext uri="{FF2B5EF4-FFF2-40B4-BE49-F238E27FC236}">
              <a16:creationId xmlns:a16="http://schemas.microsoft.com/office/drawing/2014/main" id="{DC083A25-A0CF-456E-B559-DFE63B81F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261471</xdr:colOff>
      <xdr:row>136</xdr:row>
      <xdr:rowOff>67235</xdr:rowOff>
    </xdr:from>
    <xdr:to>
      <xdr:col>37</xdr:col>
      <xdr:colOff>518833</xdr:colOff>
      <xdr:row>151</xdr:row>
      <xdr:rowOff>120465</xdr:rowOff>
    </xdr:to>
    <xdr:graphicFrame macro="">
      <xdr:nvGraphicFramePr>
        <xdr:cNvPr id="13" name="Diagram 11">
          <a:extLst>
            <a:ext uri="{FF2B5EF4-FFF2-40B4-BE49-F238E27FC236}">
              <a16:creationId xmlns:a16="http://schemas.microsoft.com/office/drawing/2014/main" id="{224B2724-7337-4EE5-B861-3B4BB5A9A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246530</xdr:colOff>
      <xdr:row>152</xdr:row>
      <xdr:rowOff>0</xdr:rowOff>
    </xdr:from>
    <xdr:to>
      <xdr:col>37</xdr:col>
      <xdr:colOff>503892</xdr:colOff>
      <xdr:row>170</xdr:row>
      <xdr:rowOff>165289</xdr:rowOff>
    </xdr:to>
    <xdr:graphicFrame macro="">
      <xdr:nvGraphicFramePr>
        <xdr:cNvPr id="14" name="Diagram 11">
          <a:extLst>
            <a:ext uri="{FF2B5EF4-FFF2-40B4-BE49-F238E27FC236}">
              <a16:creationId xmlns:a16="http://schemas.microsoft.com/office/drawing/2014/main" id="{EE2A34D4-601B-4070-889C-A2670646A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239059</xdr:colOff>
      <xdr:row>172</xdr:row>
      <xdr:rowOff>67235</xdr:rowOff>
    </xdr:from>
    <xdr:to>
      <xdr:col>37</xdr:col>
      <xdr:colOff>496421</xdr:colOff>
      <xdr:row>186</xdr:row>
      <xdr:rowOff>135406</xdr:rowOff>
    </xdr:to>
    <xdr:graphicFrame macro="">
      <xdr:nvGraphicFramePr>
        <xdr:cNvPr id="16" name="Diagram 11">
          <a:extLst>
            <a:ext uri="{FF2B5EF4-FFF2-40B4-BE49-F238E27FC236}">
              <a16:creationId xmlns:a16="http://schemas.microsoft.com/office/drawing/2014/main" id="{88CF0A76-EA36-4AC1-BB7C-EDCFB7C16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30</xdr:col>
      <xdr:colOff>239059</xdr:colOff>
      <xdr:row>187</xdr:row>
      <xdr:rowOff>44823</xdr:rowOff>
    </xdr:from>
    <xdr:to>
      <xdr:col>37</xdr:col>
      <xdr:colOff>496421</xdr:colOff>
      <xdr:row>199</xdr:row>
      <xdr:rowOff>210111</xdr:rowOff>
    </xdr:to>
    <xdr:graphicFrame macro="">
      <xdr:nvGraphicFramePr>
        <xdr:cNvPr id="17" name="Diagram 11">
          <a:extLst>
            <a:ext uri="{FF2B5EF4-FFF2-40B4-BE49-F238E27FC236}">
              <a16:creationId xmlns:a16="http://schemas.microsoft.com/office/drawing/2014/main" id="{E46927B4-3C42-4A7F-AB67-565F18FDB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246529</xdr:colOff>
      <xdr:row>199</xdr:row>
      <xdr:rowOff>261470</xdr:rowOff>
    </xdr:from>
    <xdr:to>
      <xdr:col>37</xdr:col>
      <xdr:colOff>503891</xdr:colOff>
      <xdr:row>215</xdr:row>
      <xdr:rowOff>127935</xdr:rowOff>
    </xdr:to>
    <xdr:graphicFrame macro="">
      <xdr:nvGraphicFramePr>
        <xdr:cNvPr id="18" name="Diagram 11">
          <a:extLst>
            <a:ext uri="{FF2B5EF4-FFF2-40B4-BE49-F238E27FC236}">
              <a16:creationId xmlns:a16="http://schemas.microsoft.com/office/drawing/2014/main" id="{8900CB4C-A212-45DC-AC02-2A694D22B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30</xdr:col>
      <xdr:colOff>246528</xdr:colOff>
      <xdr:row>238</xdr:row>
      <xdr:rowOff>59766</xdr:rowOff>
    </xdr:from>
    <xdr:to>
      <xdr:col>37</xdr:col>
      <xdr:colOff>503890</xdr:colOff>
      <xdr:row>269</xdr:row>
      <xdr:rowOff>90584</xdr:rowOff>
    </xdr:to>
    <xdr:graphicFrame macro="">
      <xdr:nvGraphicFramePr>
        <xdr:cNvPr id="19" name="Diagram 11">
          <a:extLst>
            <a:ext uri="{FF2B5EF4-FFF2-40B4-BE49-F238E27FC236}">
              <a16:creationId xmlns:a16="http://schemas.microsoft.com/office/drawing/2014/main" id="{23B977FA-46CE-4189-B522-E7E5086C2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2217056</xdr:colOff>
      <xdr:row>253</xdr:row>
      <xdr:rowOff>276331</xdr:rowOff>
    </xdr:from>
    <xdr:to>
      <xdr:col>12</xdr:col>
      <xdr:colOff>572827</xdr:colOff>
      <xdr:row>259</xdr:row>
      <xdr:rowOff>7498</xdr:rowOff>
    </xdr:to>
    <xdr:sp macro="" textlink="">
      <xdr:nvSpPr>
        <xdr:cNvPr id="20" name="Oval 19">
          <a:hlinkClick xmlns:r="http://schemas.openxmlformats.org/officeDocument/2006/relationships" r:id="rId16"/>
          <a:extLst>
            <a:ext uri="{FF2B5EF4-FFF2-40B4-BE49-F238E27FC236}">
              <a16:creationId xmlns:a16="http://schemas.microsoft.com/office/drawing/2014/main" id="{6346FB6E-2D6F-4058-ABF2-5B58CBC972FE}"/>
            </a:ext>
          </a:extLst>
        </xdr:cNvPr>
        <xdr:cNvSpPr/>
      </xdr:nvSpPr>
      <xdr:spPr>
        <a:xfrm>
          <a:off x="13919199" y="42104688"/>
          <a:ext cx="1049985" cy="1010239"/>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100">
              <a:solidFill>
                <a:sysClr val="windowText" lastClr="000000"/>
              </a:solidFill>
            </a:rPr>
            <a:t>Tilbage til solcelle</a:t>
          </a:r>
        </a:p>
        <a:p>
          <a:pPr algn="ctr"/>
          <a:r>
            <a:rPr lang="da-DK" sz="1100">
              <a:solidFill>
                <a:sysClr val="windowText" lastClr="000000"/>
              </a:solidFill>
            </a:rPr>
            <a:t>menu</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138545</xdr:colOff>
      <xdr:row>2</xdr:row>
      <xdr:rowOff>107083</xdr:rowOff>
    </xdr:from>
    <xdr:to>
      <xdr:col>7</xdr:col>
      <xdr:colOff>1278489</xdr:colOff>
      <xdr:row>2</xdr:row>
      <xdr:rowOff>855766</xdr:rowOff>
    </xdr:to>
    <xdr:pic>
      <xdr:nvPicPr>
        <xdr:cNvPr id="2" name="Bille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37818" y="713219"/>
          <a:ext cx="2390028" cy="760113"/>
        </a:xfrm>
        <a:prstGeom prst="rect">
          <a:avLst/>
        </a:prstGeom>
      </xdr:spPr>
    </xdr:pic>
    <xdr:clientData/>
  </xdr:twoCellAnchor>
  <xdr:oneCellAnchor>
    <xdr:from>
      <xdr:col>1</xdr:col>
      <xdr:colOff>27215</xdr:colOff>
      <xdr:row>19</xdr:row>
      <xdr:rowOff>54429</xdr:rowOff>
    </xdr:from>
    <xdr:ext cx="13481502" cy="593239"/>
    <xdr:sp macro="" textlink="">
      <xdr:nvSpPr>
        <xdr:cNvPr id="3" name="Tekstfelt 2">
          <a:extLst>
            <a:ext uri="{FF2B5EF4-FFF2-40B4-BE49-F238E27FC236}">
              <a16:creationId xmlns:a16="http://schemas.microsoft.com/office/drawing/2014/main" id="{00000000-0008-0000-0900-000003000000}"/>
            </a:ext>
          </a:extLst>
        </xdr:cNvPr>
        <xdr:cNvSpPr txBox="1"/>
      </xdr:nvSpPr>
      <xdr:spPr>
        <a:xfrm>
          <a:off x="462644" y="6844393"/>
          <a:ext cx="13481502"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a-DK" sz="1600" b="1"/>
            <a:t>I beregningen er der benyttet nationale emissionsfaktore for de forskellige opvarmningsformer. Værdierne er baseret på Håndbogen for Energikonsulenter, og kan ses herunder: </a:t>
          </a:r>
        </a:p>
      </xdr:txBody>
    </xdr:sp>
    <xdr:clientData/>
  </xdr:oneCellAnchor>
  <xdr:oneCellAnchor>
    <xdr:from>
      <xdr:col>1</xdr:col>
      <xdr:colOff>7257</xdr:colOff>
      <xdr:row>325</xdr:row>
      <xdr:rowOff>0</xdr:rowOff>
    </xdr:from>
    <xdr:ext cx="13504635" cy="666750"/>
    <xdr:sp macro="" textlink="">
      <xdr:nvSpPr>
        <xdr:cNvPr id="4" name="Tekstfelt 3">
          <a:extLst>
            <a:ext uri="{FF2B5EF4-FFF2-40B4-BE49-F238E27FC236}">
              <a16:creationId xmlns:a16="http://schemas.microsoft.com/office/drawing/2014/main" id="{00000000-0008-0000-0900-000004000000}"/>
            </a:ext>
          </a:extLst>
        </xdr:cNvPr>
        <xdr:cNvSpPr txBox="1"/>
      </xdr:nvSpPr>
      <xdr:spPr>
        <a:xfrm>
          <a:off x="442686" y="79533750"/>
          <a:ext cx="13504635"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a-DK" sz="1600" b="1" i="0" u="none" strike="noStrike">
              <a:solidFill>
                <a:schemeClr val="tx1"/>
              </a:solidFill>
              <a:effectLst/>
              <a:latin typeface="+mn-lt"/>
              <a:ea typeface="+mn-ea"/>
              <a:cs typeface="+mn-cs"/>
            </a:rPr>
            <a:t>Der er for de forskellige placeringer af beton og letbeton og tykkelser af disse konstruktioner benyttet en varieret mængde armering, med undtagelse af udvendig beklædning, skillevægge og betonhuldættet i tagkonstruktionen. Herunder kan mængden for de forskellige konstruktioner ses:</a:t>
          </a:r>
          <a:r>
            <a:rPr lang="da-DK" sz="1600"/>
            <a:t> </a:t>
          </a:r>
        </a:p>
      </xdr:txBody>
    </xdr:sp>
    <xdr:clientData/>
  </xdr:oneCellAnchor>
  <xdr:twoCellAnchor>
    <xdr:from>
      <xdr:col>1</xdr:col>
      <xdr:colOff>0</xdr:colOff>
      <xdr:row>4</xdr:row>
      <xdr:rowOff>0</xdr:rowOff>
    </xdr:from>
    <xdr:to>
      <xdr:col>7</xdr:col>
      <xdr:colOff>1362982</xdr:colOff>
      <xdr:row>6</xdr:row>
      <xdr:rowOff>693964</xdr:rowOff>
    </xdr:to>
    <xdr:sp macro="" textlink="">
      <xdr:nvSpPr>
        <xdr:cNvPr id="5" name="Tekstfelt 4">
          <a:extLst>
            <a:ext uri="{FF2B5EF4-FFF2-40B4-BE49-F238E27FC236}">
              <a16:creationId xmlns:a16="http://schemas.microsoft.com/office/drawing/2014/main" id="{00000000-0008-0000-0900-000005000000}"/>
            </a:ext>
          </a:extLst>
        </xdr:cNvPr>
        <xdr:cNvSpPr txBox="1"/>
      </xdr:nvSpPr>
      <xdr:spPr>
        <a:xfrm>
          <a:off x="435429" y="2027464"/>
          <a:ext cx="13459732" cy="1238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600" b="0" i="0" u="none" strike="noStrike">
              <a:solidFill>
                <a:schemeClr val="dk1"/>
              </a:solidFill>
              <a:effectLst/>
              <a:latin typeface="+mn-lt"/>
              <a:ea typeface="+mn-ea"/>
              <a:cs typeface="+mn-cs"/>
            </a:rPr>
            <a:t>CO2 aftrykket fra materialer i nybyg beregningen er baseret på rambøll rapporten, "Analyse af CO2-udledning og totaløkonomi i renovering og nybyg" fra oktober 2020.</a:t>
          </a:r>
          <a:r>
            <a:rPr lang="da-DK" sz="1600"/>
            <a:t> </a:t>
          </a:r>
        </a:p>
        <a:p>
          <a:r>
            <a:rPr lang="da-DK" sz="1600" b="0" i="0" u="none" strike="noStrike">
              <a:solidFill>
                <a:schemeClr val="dk1"/>
              </a:solidFill>
              <a:effectLst/>
              <a:latin typeface="+mn-lt"/>
              <a:ea typeface="+mn-ea"/>
              <a:cs typeface="+mn-cs"/>
            </a:rPr>
            <a:t>Drifts beregningen er baseret på bygningsreglementet, mens nybyg faktisk er baseret på et</a:t>
          </a:r>
          <a:r>
            <a:rPr lang="da-DK" sz="1600" b="0" i="0" u="none" strike="noStrike" baseline="0">
              <a:solidFill>
                <a:schemeClr val="dk1"/>
              </a:solidFill>
              <a:effectLst/>
              <a:latin typeface="+mn-lt"/>
              <a:ea typeface="+mn-ea"/>
              <a:cs typeface="+mn-cs"/>
            </a:rPr>
            <a:t> estimat på at det faktiske forbrug er dobbelt så højt som det beregnede i bygningreglementet.</a:t>
          </a:r>
          <a:endParaRPr lang="da-DK" sz="1600"/>
        </a:p>
      </xdr:txBody>
    </xdr:sp>
    <xdr:clientData/>
  </xdr:twoCellAnchor>
  <xdr:twoCellAnchor>
    <xdr:from>
      <xdr:col>1</xdr:col>
      <xdr:colOff>15240</xdr:colOff>
      <xdr:row>374</xdr:row>
      <xdr:rowOff>31432</xdr:rowOff>
    </xdr:from>
    <xdr:to>
      <xdr:col>3</xdr:col>
      <xdr:colOff>864870</xdr:colOff>
      <xdr:row>389</xdr:row>
      <xdr:rowOff>50482</xdr:rowOff>
    </xdr:to>
    <xdr:graphicFrame macro="">
      <xdr:nvGraphicFramePr>
        <xdr:cNvPr id="7" name="Chart 6">
          <a:extLst>
            <a:ext uri="{FF2B5EF4-FFF2-40B4-BE49-F238E27FC236}">
              <a16:creationId xmlns:a16="http://schemas.microsoft.com/office/drawing/2014/main" id="{3D90ACB4-FB4E-3C32-8CEE-D002A9E89F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ulie  Skov" id="{3BE2D71F-FE24-4FEC-A2A4-CB3135009AF2}" userId="S::Julie@transition.nu::7363d381-b24c-4cba-bb2a-744194e477f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D81D71-0D18-44C4-A5AA-9A780196B9B7}" name="Table1" displayName="Table1" ref="BI48:BL53" totalsRowShown="0" headerRowDxfId="1" dataDxfId="0">
  <autoFilter ref="BI48:BL53" xr:uid="{0AD81D71-0D18-44C4-A5AA-9A780196B9B7}"/>
  <tableColumns count="4">
    <tableColumn id="1" xr3:uid="{CDA41A7D-26CC-4DB4-B9EB-E46ED68DEA76}" name="Column1" dataDxfId="5"/>
    <tableColumn id="2" xr3:uid="{5775FA80-34AA-4168-B828-36EA81931D2B}" name="Column2" dataDxfId="4"/>
    <tableColumn id="3" xr3:uid="{9ADACDFF-010A-46CF-B698-13AAB75962C0}" name="Column3" dataDxfId="3"/>
    <tableColumn id="4" xr3:uid="{398AAD63-54CC-430A-BF51-997CF80E71AD}" name="Column4" dataDxfId="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B5FE07B-3BFC-4AC4-A842-B93FA1AAA1FF}" name="Pris.tag.beklædning" displayName="Pris.tag.beklædning" ref="A245:D260" totalsRowShown="0" headerRowDxfId="379" dataDxfId="378">
  <autoFilter ref="A245:D260" xr:uid="{6B5FE07B-3BFC-4AC4-A842-B93FA1AAA1FF}"/>
  <tableColumns count="4">
    <tableColumn id="1" xr3:uid="{DF7FABA6-2EF0-432B-9EB3-8F667AF698B7}" name="Materiale" dataDxfId="377"/>
    <tableColumn id="2" xr3:uid="{F0BCDDB6-4520-4C88-BDFC-23068E47741B}" name="Pris" dataDxfId="376"/>
    <tableColumn id="3" xr3:uid="{A5504935-8593-416C-97D2-9B4DE2BEBCF8}" name="Enhed" dataDxfId="375"/>
    <tableColumn id="4" xr3:uid="{03A6D5C8-88B5-43A8-A714-CB7CC6D8513F}" name="Tykkelse mm" dataDxfId="37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5B00F93-8B72-4CC2-840B-C584039CB56E}" name="Pris.tag.konstruktion" displayName="Pris.tag.konstruktion" ref="A266:D277" totalsRowShown="0" headerRowDxfId="373" dataDxfId="372">
  <autoFilter ref="A266:D277" xr:uid="{F5B00F93-8B72-4CC2-840B-C584039CB56E}"/>
  <tableColumns count="4">
    <tableColumn id="1" xr3:uid="{CB2FD5B5-F2FA-49B6-BCEB-FC4FEF44929C}" name="Materiale" dataDxfId="371"/>
    <tableColumn id="2" xr3:uid="{28836034-8919-441A-B162-A209E7C3C663}" name="Pris" dataDxfId="370"/>
    <tableColumn id="3" xr3:uid="{53D01271-9F93-4E66-BC39-25A60E56CA0A}" name="Enhed" dataDxfId="369"/>
    <tableColumn id="4" xr3:uid="{957C1EBE-F61E-4980-A814-2D1A84FEF7DC}" name="Tykkelse mm" dataDxfId="36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23EC0F9-A60A-4F13-8B95-4B42A01C266B}" name="Pris.loft.beklædning" displayName="Pris.loft.beklædning" ref="A281:D294" totalsRowShown="0" headerRowDxfId="367" dataDxfId="366">
  <autoFilter ref="A281:D294" xr:uid="{323EC0F9-A60A-4F13-8B95-4B42A01C266B}"/>
  <tableColumns count="4">
    <tableColumn id="1" xr3:uid="{5E8B0E6E-C12E-48C5-80AF-9A92BC6C029C}" name="Materiale" dataDxfId="365"/>
    <tableColumn id="2" xr3:uid="{DDADE680-8BB1-4DED-88AD-545CFE95E0A3}" name="Pris" dataDxfId="364"/>
    <tableColumn id="3" xr3:uid="{5541B505-69E1-4B46-A4C5-7DCC750B99CA}" name="Enhed" dataDxfId="363"/>
    <tableColumn id="4" xr3:uid="{BD622A48-FCC9-4D07-8905-8EC8C3FA7DB7}" name="Tykkelse i mm" dataDxfId="36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A97CFE2-BCC8-412F-BAD9-244FC7AEED98}" name="Pris.gulv.belægning" displayName="Pris.gulv.belægning" ref="A298:D315" totalsRowShown="0" headerRowDxfId="361" dataDxfId="360">
  <autoFilter ref="A298:D315" xr:uid="{9A97CFE2-BCC8-412F-BAD9-244FC7AEED98}"/>
  <tableColumns count="4">
    <tableColumn id="1" xr3:uid="{94494B30-A2C0-49FF-9088-E2F7AFEA2C7E}" name="Materiale" dataDxfId="359"/>
    <tableColumn id="2" xr3:uid="{82928992-E8E0-4AC6-A6F1-CB0B368BC598}" name="Pris" dataDxfId="358"/>
    <tableColumn id="3" xr3:uid="{4D057281-4F41-4E37-AFDC-61C138B4F191}" name="Enhed" dataDxfId="357"/>
    <tableColumn id="4" xr3:uid="{4062AF88-2FBC-4252-B137-340AC0CE5532}" name="Tykkelse i mm" dataDxfId="356"/>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409BEBA-A0B2-462A-9DE9-2CF836B11E13}" name="Tagform_skema" displayName="Tagform_skema" ref="A43:B49" totalsRowShown="0" headerRowDxfId="355" dataDxfId="354">
  <autoFilter ref="A43:B49" xr:uid="{BE7752A9-72FA-4230-BC05-773B4BF42288}"/>
  <tableColumns count="2">
    <tableColumn id="1" xr3:uid="{8D5262C8-A52B-4B63-85C4-B177D3A73C10}" name="Tagform" dataDxfId="353"/>
    <tableColumn id="2" xr3:uid="{A4F97B3B-4DD3-4B19-B283-83EE0120E2D2}" name="Hældning" dataDxfId="35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7166DB5-C3B7-4B56-8C1F-3B7F1EF44D1B}" name="Antal_Etager21" displayName="Antal_Etager21" ref="A1:A41" totalsRowShown="0" headerRowDxfId="351" dataDxfId="350">
  <autoFilter ref="A1:A41" xr:uid="{00A493A0-8A6C-468D-AEB9-CDA0BD30BD2F}"/>
  <tableColumns count="1">
    <tableColumn id="1" xr3:uid="{3DF06BC3-4525-4594-A776-41F087B7FEB4}" name="Antal Etager" dataDxfId="349"/>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5FD85EE8-CF17-4111-81F1-A1B3A432443A}" name="Bygningstype" displayName="Bygningstype" ref="A56:E63" totalsRowShown="0" headerRowDxfId="348" dataDxfId="347">
  <autoFilter ref="A56:E63" xr:uid="{3CA5A3F6-9FFF-429C-BE8C-676C3450B64A}"/>
  <tableColumns count="5">
    <tableColumn id="1" xr3:uid="{4E3E0CCB-9F34-434E-950B-56FDD26E5703}" name="Bygningstype" dataDxfId="346"/>
    <tableColumn id="2" xr3:uid="{E5CFED1E-9D32-49E3-A94C-3843B78892C4}" name="Rumdybde" dataDxfId="345"/>
    <tableColumn id="3" xr3:uid="{2F70DDB7-8629-4ABB-9EA5-4ACD4F61C19F}" name="Etage højde" dataDxfId="344"/>
    <tableColumn id="4" xr3:uid="{C9E339CE-58E9-4648-85DB-BAAB4688AE68}" name="Teknik" dataDxfId="343"/>
    <tableColumn id="5" xr3:uid="{8C727446-B534-4D55-84AF-A6A5013A05A0}" name="Pfaktor" dataDxfId="34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A3048E5-7504-435B-AE41-DA5B6D7D3E3F}" name="Isoleringsmateriale" displayName="Isoleringsmateriale" ref="A66:B90" totalsRowShown="0" headerRowDxfId="341" dataDxfId="340">
  <autoFilter ref="A66:B90" xr:uid="{6F016AEA-3897-4F1E-8BF2-A0DC3605BE5B}"/>
  <tableColumns count="2">
    <tableColumn id="1" xr3:uid="{64BD5074-EC63-4B7B-8928-BD71D3309C95}" name="Isolerings materiale" dataDxfId="339"/>
    <tableColumn id="2" xr3:uid="{CE5D4E45-1E41-4278-8387-5DC5CBC8B0D6}" name="isooleringsklasse" dataDxfId="33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D386D34-9D1A-4664-A9C2-242D88BB8399}" name="Bygningsvægt" displayName="Bygningsvægt" ref="A51:D54" totalsRowShown="0" headerRowDxfId="337" dataDxfId="336">
  <autoFilter ref="A51:D54" xr:uid="{8EEFD1BC-F99F-4547-9117-94FF33B45739}"/>
  <tableColumns count="4">
    <tableColumn id="1" xr3:uid="{D11CA983-4979-414E-8D13-53C3CD53DB0D}" name="Bygningstype" dataDxfId="335"/>
    <tableColumn id="2" xr3:uid="{7AC87C17-873F-423C-9CEF-979EDCE71836}" name="Ydervæg" dataDxfId="334"/>
    <tableColumn id="3" xr3:uid="{A2CCB776-B497-417D-AFB7-15CF5217EEEE}" name="Tag" dataDxfId="333"/>
    <tableColumn id="4" xr3:uid="{DAAC988D-A326-43F3-98F7-41B2E15E09E1}" name="Terrændæk" dataDxfId="33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0B4C35E-2D5C-4E36-8760-5131033D3812}" name="Pris.kapillarbryddende.lag" displayName="Pris.kapillarbryddende.lag" ref="A318:D326" totalsRowShown="0" headerRowDxfId="331" dataDxfId="330">
  <autoFilter ref="A318:D326" xr:uid="{60B4C35E-2D5C-4E36-8760-5131033D3812}"/>
  <tableColumns count="4">
    <tableColumn id="1" xr3:uid="{442429BC-1A81-44AC-BF46-EC3E423EF39F}" name="Materiale" dataDxfId="329"/>
    <tableColumn id="2" xr3:uid="{3F032C31-EB1C-4B02-9699-79AD3BA3837D}" name="Pris" dataDxfId="328"/>
    <tableColumn id="3" xr3:uid="{8AC1770C-E4E3-4105-8342-5D6EE5C3CA08}" name="Enhed" dataDxfId="327"/>
    <tableColumn id="4" xr3:uid="{A18DF7C7-1F61-4434-A391-5C5EBC4926E4}" name="Tykkelse i mm" dataDxfId="32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875569BD-6063-4006-AE93-124F88FEFAD8}" name="Solcelle_tabel" displayName="Solcelle_tabel" ref="B4:R11" totalsRowShown="0" headerRowDxfId="442" dataDxfId="441">
  <autoFilter ref="B4:R11" xr:uid="{875569BD-6063-4006-AE93-124F88FEFAD8}"/>
  <tableColumns count="17">
    <tableColumn id="1" xr3:uid="{118E853B-7EE6-4BBB-9DA4-A222BCA247CE}" name="Solcellen" dataDxfId="440"/>
    <tableColumn id="2" xr3:uid="{954F276E-287E-4138-AD2A-5C2843D02E14}" name="Column1" dataDxfId="439"/>
    <tableColumn id="3" xr3:uid="{61F8E4AF-E099-43BE-834E-7CA524CA2403}" name="Column2" dataDxfId="438"/>
    <tableColumn id="4" xr3:uid="{E383BE99-E92F-4BC8-9F76-9B50D615C5B6}" name="Column3" dataDxfId="437"/>
    <tableColumn id="5" xr3:uid="{82693712-1FEE-42CF-A1C3-45FE900F85A6}" name="Wp pr modul [Wp]" dataDxfId="436"/>
    <tableColumn id="6" xr3:uid="{ACFD4E54-C692-44DF-BBCA-C91A31EA962F}" name="Column4" dataDxfId="435"/>
    <tableColumn id="7" xr3:uid="{FCFB8F50-DCE2-4469-A093-3956DE04607D}" name="Column5" dataDxfId="434"/>
    <tableColumn id="8" xr3:uid="{0F4CDAB1-DFC5-4069-B810-C80F69DAC52B}" name="Areal pr modul [m2]" dataDxfId="433"/>
    <tableColumn id="9" xr3:uid="{39676EF1-8500-4334-AC2B-7101FDB68EE1}" name="Column6" dataDxfId="432"/>
    <tableColumn id="10" xr3:uid="{CC665809-5E64-46C0-A4A7-61004F7095AF}" name="[kWp/m2]" dataDxfId="431">
      <calculatedColumnFormula>VLOOKUP($B$3&amp;"_"&amp;B5,'LCA data'!$B$7:$AB$360,27,FALSE)</calculatedColumnFormula>
    </tableColumn>
    <tableColumn id="11" xr3:uid="{A34EA404-AE2C-4062-AFC7-EE32ECCC11B2}" name="Antal moduler [stk]" dataDxfId="430">
      <calculatedColumnFormula>Solceller!$C$519/Solceller!I5</calculatedColumnFormula>
    </tableColumn>
    <tableColumn id="12" xr3:uid="{9FF6322A-83DC-4657-BCE1-07AB57872867}" name="Column8" dataDxfId="429"/>
    <tableColumn id="13" xr3:uid="{43F34425-3EB8-4E69-B9BC-8D6D7F85B8C9}" name="Column9" dataDxfId="428"/>
    <tableColumn id="14" xr3:uid="{DF611CE9-3435-4160-B167-288F4ACDE1BE}" name="Modulvirkningsgrad [%]" dataDxfId="427"/>
    <tableColumn id="15" xr3:uid="{D9B8D718-A566-4A3E-82C8-430EC7192DDB}" name="Column10" dataDxfId="426"/>
    <tableColumn id="16" xr3:uid="{4776EC53-F742-4728-B0CF-A30927789A67}" name="Column11" dataDxfId="425"/>
    <tableColumn id="17" xr3:uid="{2AF1E1F5-6DE3-45C0-A70B-804BBE679BB2}" name="kWh/ m2" dataDxfId="424">
      <calculatedColumnFormula>$F$29*Solcelle_tabel[[#This Row],['[kWp/m2']]]</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7CA3BC8-994B-4E76-A832-B80784C02396}" name="Pris.isolering.tag" displayName="Pris.isolering.tag" ref="A154:C175" totalsRowShown="0" headerRowDxfId="325" dataDxfId="323" headerRowBorderDxfId="324" tableBorderDxfId="322">
  <autoFilter ref="A154:C175" xr:uid="{07CA3BC8-994B-4E76-A832-B80784C02396}"/>
  <tableColumns count="3">
    <tableColumn id="1" xr3:uid="{510EE0AC-A8F2-492C-B4C8-76C28DD213A7}" name="Materiale" dataDxfId="321"/>
    <tableColumn id="2" xr3:uid="{FDD3F7CF-C404-4B82-BD91-BD4BAC1372C0}" name="Pris" dataDxfId="320"/>
    <tableColumn id="3" xr3:uid="{D594E28F-5CFF-49E3-8921-94D515BCAF06}" name="Enhed" dataDxfId="319"/>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9F6C81D-5C34-4F91-8BE5-2B42ED4245ED}" name="Auto_Ydervæg" displayName="Auto_Ydervæg" ref="A367:G372" totalsRowShown="0" headerRowDxfId="244" dataDxfId="243">
  <autoFilter ref="A367:G372" xr:uid="{59F6C81D-5C34-4F91-8BE5-2B42ED4245ED}"/>
  <tableColumns count="7">
    <tableColumn id="1" xr3:uid="{31B1883A-3929-474E-B901-041879DC90D0}" name="Lag" dataDxfId="242"/>
    <tableColumn id="2" xr3:uid="{B856FDBE-4B02-43BC-A7A7-F4FADF8AC36E}" name="Scenarie 1: KT" dataDxfId="241"/>
    <tableColumn id="3" xr3:uid="{49AE9764-07AA-4B3B-B1FD-E4EAEE8D8A6E}" name="Scenarie 2: KM" dataDxfId="240"/>
    <tableColumn id="4" xr3:uid="{63911932-5315-49CB-8FFD-FA676829621B}" name="Scenarie 2: KL" dataDxfId="239"/>
    <tableColumn id="5" xr3:uid="{7BF46C23-3E5A-4FB5-8995-C74DDED9D884}" name="Scenarie 4: BT" dataDxfId="238"/>
    <tableColumn id="6" xr3:uid="{FBFC99D3-8DAF-49A4-A250-2757BD945C0A}" name="Scenarie 5: BM" dataDxfId="237"/>
    <tableColumn id="7" xr3:uid="{976A9DEA-69FB-4E3D-9DF1-4ADE6CCC7320}" name="Scenarie 6: BL" dataDxfId="236"/>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CCBD957-73D1-4AA4-8714-2DD1435182E2}" name="Type_Tung_Middel_Let" displayName="Type_Tung_Middel_Let" ref="A92:B99" totalsRowShown="0" headerRowDxfId="248" dataDxfId="247">
  <autoFilter ref="A92:B99" xr:uid="{FCCBD957-73D1-4AA4-8714-2DD1435182E2}"/>
  <tableColumns count="2">
    <tableColumn id="1" xr3:uid="{4AC964F9-DA48-4A08-8F6B-4BA0D4BB0639}" name="Column1" dataDxfId="246"/>
    <tableColumn id="2" xr3:uid="{B5056D2F-EBF6-4BAA-82E1-549064E3A1A5}" name="Column2" dataDxfId="245"/>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7FEF3C4-6E70-4BAB-908B-9B85C0E91422}" name="Auto_Tag" displayName="Auto_Tag" ref="A375:G379" totalsRowShown="0" headerRowDxfId="235" dataDxfId="234" headerRowBorderDxfId="232" tableBorderDxfId="233">
  <autoFilter ref="A375:G379" xr:uid="{A7FEF3C4-6E70-4BAB-908B-9B85C0E91422}"/>
  <tableColumns count="7">
    <tableColumn id="1" xr3:uid="{F4962656-B6BD-425E-BB6B-47E123724454}" name="Lag" dataDxfId="231"/>
    <tableColumn id="2" xr3:uid="{7CD2085C-7743-40DC-88C8-F5E12BA21FC4}" name="Scenarie 1: KT" dataDxfId="230"/>
    <tableColumn id="3" xr3:uid="{B2E5EF60-7F2F-45D8-886B-41604447B792}" name="Scenarie 2: KM" dataDxfId="229"/>
    <tableColumn id="4" xr3:uid="{60F327EF-FEB1-4157-B964-AB108583B5D4}" name="Scenarie 2: KL" dataDxfId="228"/>
    <tableColumn id="5" xr3:uid="{C412D8ED-D04E-45D6-907E-16ED8090FF5F}" name="Scenarie 4: BT" dataDxfId="227"/>
    <tableColumn id="6" xr3:uid="{CC3292E9-3E12-47B3-BBAA-3D2E135C5212}" name="Scenarie 5: BM" dataDxfId="226"/>
    <tableColumn id="7" xr3:uid="{CE9C3A90-C032-4DF9-A52B-9489A1710317}" name="Scenarie 6: BL" dataDxfId="225"/>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FF1D8B7-49B6-48EC-AE25-AC0BB5B11177}" name="Auto_Terrændæk" displayName="Auto_Terrændæk" ref="A382:G386" totalsRowShown="0" headerRowDxfId="224" dataDxfId="223" headerRowBorderDxfId="221" tableBorderDxfId="222">
  <autoFilter ref="A382:G386" xr:uid="{DFF1D8B7-49B6-48EC-AE25-AC0BB5B11177}"/>
  <tableColumns count="7">
    <tableColumn id="1" xr3:uid="{01D1247E-D188-4C6E-82CA-CE863A91A031}" name="Lag" dataDxfId="220"/>
    <tableColumn id="2" xr3:uid="{376486C9-12BA-4292-B824-6965CCBBED48}" name="Scenarie 1: KT" dataDxfId="219"/>
    <tableColumn id="3" xr3:uid="{D6D28D31-6FED-4E0A-9083-222376F8FD48}" name="Scenarie 2: KM" dataDxfId="218"/>
    <tableColumn id="4" xr3:uid="{1D4879B0-6342-4641-950A-CF2DBA7F3809}" name="Scenarie 2: KL" dataDxfId="217"/>
    <tableColumn id="5" xr3:uid="{92A48B73-7C37-4E9A-82A9-62E11B50894F}" name="Scenarie 4: BT" dataDxfId="216"/>
    <tableColumn id="6" xr3:uid="{752DDC82-EB5E-4F30-9070-4EA60A8FE5C1}" name="Scenarie 5: BM" dataDxfId="215"/>
    <tableColumn id="7" xr3:uid="{4A2B98C9-5B70-4891-A0E1-216E9BBE503D}" name="Scenarie 6: BL" dataDxfId="214"/>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17471B3-5D04-4810-9932-8D6C57B8AD37}" name="Auto_Skillevæg" displayName="Auto_Skillevæg" ref="A389:G393" totalsRowShown="0" headerRowDxfId="213" dataDxfId="212" headerRowBorderDxfId="210" tableBorderDxfId="211">
  <autoFilter ref="A389:G393" xr:uid="{B17471B3-5D04-4810-9932-8D6C57B8AD37}"/>
  <tableColumns count="7">
    <tableColumn id="1" xr3:uid="{591BAECF-3D22-4B95-B8D7-BF5E6C2081A6}" name="Lag" dataDxfId="209"/>
    <tableColumn id="2" xr3:uid="{662519E8-D3E2-41B8-972B-BFE73BFA4B43}" name="Scenarie 1: KT" dataDxfId="208"/>
    <tableColumn id="3" xr3:uid="{9A7AE068-7202-4E98-AB41-9189F83449C2}" name="Scenarie 2: KM" dataDxfId="207"/>
    <tableColumn id="4" xr3:uid="{9AA39FF1-702F-44C2-9DC2-4EAFCE3DA9AD}" name="Scenarie 2: KL" dataDxfId="206"/>
    <tableColumn id="5" xr3:uid="{3F5A4258-0569-4791-BC6E-3A1EA5D59E5E}" name="Scenarie 4: BT" dataDxfId="205"/>
    <tableColumn id="6" xr3:uid="{C6FEB9D9-9CC9-4E37-A764-0108AE7CEFD4}" name="Scenarie 5: BM" dataDxfId="204"/>
    <tableColumn id="7" xr3:uid="{FE1DE643-E3D6-4D50-9AD4-ADAF974E1AE9}" name="Scenarie 6: BL" dataDxfId="203"/>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2473D74-38A7-4A53-83C3-287FF17B6F52}" name="Auto_Etagedæk" displayName="Auto_Etagedæk" ref="A396:G400" totalsRowShown="0" headerRowDxfId="202" dataDxfId="201" headerRowBorderDxfId="199" tableBorderDxfId="200">
  <autoFilter ref="A396:G400" xr:uid="{82473D74-38A7-4A53-83C3-287FF17B6F52}"/>
  <tableColumns count="7">
    <tableColumn id="1" xr3:uid="{37943D15-CB6D-4A37-AC01-22AA9549726E}" name="Lag" dataDxfId="198"/>
    <tableColumn id="2" xr3:uid="{CAC67597-7AAB-4276-9903-63653071C206}" name="Scenarie 1: KT" dataDxfId="197"/>
    <tableColumn id="3" xr3:uid="{914BCD28-BE15-4EAC-A268-2AA737ED1643}" name="Scenarie 2: KM" dataDxfId="196"/>
    <tableColumn id="4" xr3:uid="{9C11A2E1-C926-4BA4-BC48-EB10DB36F84E}" name="Scenarie 2: KL" dataDxfId="195"/>
    <tableColumn id="5" xr3:uid="{9A0EC25A-D0BA-4F02-8ACD-BF60CB14271C}" name="Scenarie 4: BT" dataDxfId="194"/>
    <tableColumn id="6" xr3:uid="{620F57C6-33DC-40ED-AD13-78DD07F1BF6A}" name="Scenarie 5: BM" dataDxfId="193"/>
    <tableColumn id="7" xr3:uid="{25AB293E-3EA0-4C0C-ACDF-25D187B0108C}" name="Scenarie 6: BL" dataDxfId="192"/>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797BF5E-3CAA-451C-9DAC-9FFABFED10A8}" name="Auto_Kælder_Ydervæg" displayName="Auto_Kælder_Ydervæg" ref="A403:C408" totalsRowShown="0" headerRowDxfId="318" dataDxfId="316" headerRowBorderDxfId="317" tableBorderDxfId="315">
  <autoFilter ref="A403:C408" xr:uid="{C797BF5E-3CAA-451C-9DAC-9FFABFED10A8}"/>
  <tableColumns count="3">
    <tableColumn id="1" xr3:uid="{FDE9105E-A0B6-4849-972C-0F0AEB2FBD62}" name="Lag" dataDxfId="314"/>
    <tableColumn id="2" xr3:uid="{A742B530-7EBD-455F-ABB3-0ED2FF80D10E}" name="Scenarie 1" dataDxfId="313"/>
    <tableColumn id="3" xr3:uid="{2E84862C-A5A5-4CC4-8628-EEBAD82CF444}" name="Scenarie 2" dataDxfId="312"/>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799BA04-A2D2-456D-A985-C04DCBB45795}" name="Auto_Kælder_Indervæg" displayName="Auto_Kælder_Indervæg" ref="A411:C415" totalsRowShown="0" headerRowDxfId="311" dataDxfId="309" headerRowBorderDxfId="310" tableBorderDxfId="308">
  <autoFilter ref="A411:C415" xr:uid="{F799BA04-A2D2-456D-A985-C04DCBB45795}"/>
  <tableColumns count="3">
    <tableColumn id="1" xr3:uid="{488F60F5-AB3B-47D8-AD09-96C2C9E34A8F}" name="Lag" dataDxfId="307"/>
    <tableColumn id="2" xr3:uid="{A712DFFE-6B87-4574-9CF1-EAFC86F74CAA}" name="Scenarie 1" dataDxfId="306"/>
    <tableColumn id="3" xr3:uid="{D2736018-489B-4D44-83E5-DDA989DC898D}" name="Scenarie 2" dataDxfId="305"/>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750E432-0274-4D16-8F7C-76E736F96720}" name="Auto_Kælder_Dæk" displayName="Auto_Kælder_Dæk" ref="A418:C422" totalsRowShown="0" headerRowDxfId="304" dataDxfId="302" headerRowBorderDxfId="303" tableBorderDxfId="301">
  <autoFilter ref="A418:C422" xr:uid="{2750E432-0274-4D16-8F7C-76E736F96720}"/>
  <tableColumns count="3">
    <tableColumn id="1" xr3:uid="{3069119D-E2F7-478B-9CAE-D8101701FACC}" name="Lag" dataDxfId="300"/>
    <tableColumn id="2" xr3:uid="{41E638DB-295F-4726-8AC3-4E28BF3A6ED8}" name="Scenarie 1" dataDxfId="299"/>
    <tableColumn id="3" xr3:uid="{192EC6A8-6544-4F5B-A6E1-BB576B8A2337}" name="Scenarie 2" dataDxfId="29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DBFEF9-8EF5-4875-A2B1-931F2F46A626}" name="Pris.indvendig.beklædning" displayName="Pris.indvendig.beklædning" ref="A104:D115" totalsRowShown="0" headerRowDxfId="423" dataDxfId="422">
  <autoFilter ref="A104:D115" xr:uid="{06DBFEF9-8EF5-4875-A2B1-931F2F46A626}"/>
  <tableColumns count="4">
    <tableColumn id="1" xr3:uid="{66E63013-C9BC-4BBE-BE82-E69CB6ED3433}" name="Materiale" dataDxfId="421"/>
    <tableColumn id="2" xr3:uid="{F3A9BBC9-3B5D-41C7-9B09-3748C41C9EF1}" name="Pris" dataDxfId="420"/>
    <tableColumn id="3" xr3:uid="{54366B35-78B0-4682-84A9-74F59741C2EA}" name="Enhed" dataDxfId="419"/>
    <tableColumn id="4" xr3:uid="{C97A10C4-7B2E-45EC-B268-EE2670AE3F99}" name="Tykkelse i mm" dataDxfId="418"/>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3030F6D-7376-4128-B843-4143381DA1AB}" name="Pris.Skillevægs.konstruktion" displayName="Pris.Skillevægs.konstruktion" ref="A227:D241" totalsRowShown="0" headerRowDxfId="297" dataDxfId="295" headerRowBorderDxfId="296" tableBorderDxfId="294" totalsRowBorderDxfId="293">
  <autoFilter ref="A227:D241" xr:uid="{A3030F6D-7376-4128-B843-4143381DA1AB}"/>
  <tableColumns count="4">
    <tableColumn id="1" xr3:uid="{87881399-ED77-42B9-8C98-E9C551A14BD9}" name="Materiale" dataDxfId="292"/>
    <tableColumn id="2" xr3:uid="{60D11C9F-2A50-410E-A3E6-2595EF8A6974}" name="Pris" dataDxfId="291"/>
    <tableColumn id="3" xr3:uid="{E6BA7EF2-979A-4B04-9658-E0D60FE95762}" name="Enhed" dataDxfId="290"/>
    <tableColumn id="4" xr3:uid="{C07F2912-FA7A-45DB-8203-F5B0986D50C5}" name="Tykkelse mm" dataDxfId="289"/>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2589B9B-45B6-4D09-92B8-1FC24503C626}" name="Pris.Terrændæk.konstruktion" displayName="Pris.Terrændæk.konstruktion" ref="A336:E345" totalsRowShown="0" headerRowDxfId="288" dataDxfId="287">
  <autoFilter ref="A336:E345" xr:uid="{62589B9B-45B6-4D09-92B8-1FC24503C626}"/>
  <tableColumns count="5">
    <tableColumn id="1" xr3:uid="{DFB644CC-D89C-408A-844C-5E48A0F3690B}" name="Materiale" dataDxfId="286"/>
    <tableColumn id="2" xr3:uid="{80F6EA86-339A-4E11-9E0C-4ED97019A32F}" name="Pris" dataDxfId="285"/>
    <tableColumn id="3" xr3:uid="{A3078976-0251-47E1-9E04-15C3AAB290DB}" name="Enhed" dataDxfId="284"/>
    <tableColumn id="4" xr3:uid="{F07857ED-F3E5-4DAD-B202-BCDC5B4E4C9C}" name="Tykkelse i mm" dataDxfId="283"/>
    <tableColumn id="5" xr3:uid="{1E3ABD88-389B-4C79-BAE1-A04371337CD9}" name="Tykkelse isolering" dataDxfId="282"/>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537B6D4-9139-4EB2-92A8-4520279D3424}" name="Pris.Etagedæk" displayName="Pris.Etagedæk" ref="A348:D358" totalsRowShown="0" headerRowDxfId="281" dataDxfId="279" headerRowBorderDxfId="280" tableBorderDxfId="278">
  <autoFilter ref="A348:D358" xr:uid="{3537B6D4-9139-4EB2-92A8-4520279D3424}"/>
  <tableColumns count="4">
    <tableColumn id="1" xr3:uid="{5BF1F42E-6959-45C4-AA78-5AB4E37D8419}" name="Materiale" dataDxfId="277"/>
    <tableColumn id="2" xr3:uid="{8398593A-B146-4ABE-8419-C5E07D298D3D}" name="Pris" dataDxfId="276"/>
    <tableColumn id="3" xr3:uid="{781B70D0-668C-447A-8ECE-27665379AB73}" name="Enhed" dataDxfId="275"/>
    <tableColumn id="4" xr3:uid="{04EEB57E-E033-4B8A-9B1F-B622919DABC7}" name="Tykkelse i mm" dataDxfId="274"/>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B6E59E6-86F2-47B1-9DDF-A48D8CCBACA0}" name="Pris.installationer" displayName="Pris.installationer" ref="A361:C362" totalsRowShown="0" headerRowDxfId="273" dataDxfId="271" headerRowBorderDxfId="272" tableBorderDxfId="270">
  <autoFilter ref="A361:C362" xr:uid="{3B6E59E6-86F2-47B1-9DDF-A48D8CCBACA0}"/>
  <tableColumns count="3">
    <tableColumn id="1" xr3:uid="{F7BAED47-F066-4290-916D-D60D297525FA}" name="Materiale" dataDxfId="269"/>
    <tableColumn id="2" xr3:uid="{19354D61-969C-4BE1-AE24-0EE3FA8A3053}" name="Pris" dataDxfId="268">
      <calculatedColumnFormula>14400/1.8</calculatedColumnFormula>
    </tableColumn>
    <tableColumn id="3" xr3:uid="{F8FCB14E-FEBD-4535-BA8B-1B4A57AB03D9}" name="Enhed" dataDxfId="267"/>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BF7C771-F70D-473E-B46E-781E6B435372}" name="Benyt_Standard" displayName="Benyt_Standard" ref="D92:D100" totalsRowShown="0" headerRowDxfId="266" dataDxfId="264" headerRowBorderDxfId="265" tableBorderDxfId="263">
  <autoFilter ref="D92:D100" xr:uid="{8BF7C771-F70D-473E-B46E-781E6B435372}"/>
  <tableColumns count="1">
    <tableColumn id="1" xr3:uid="{03B4010E-B265-4AE3-8611-528DA70ECC0A}" name="Column1" dataDxfId="262">
      <calculatedColumnFormula>Type_Tung_Middel_Let[[#This Row],[Column1]]</calculatedColumnFormula>
    </tableColumn>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17C55F-A0FC-4BB2-B756-0305C3499592}" name="Auto_fundament" displayName="Auto_fundament" ref="A425:G426" totalsRowShown="0" headerRowDxfId="191" dataDxfId="190" headerRowBorderDxfId="188" tableBorderDxfId="189">
  <autoFilter ref="A425:G426" xr:uid="{9A17C55F-A0FC-4BB2-B756-0305C3499592}"/>
  <tableColumns count="7">
    <tableColumn id="1" xr3:uid="{95D62BF0-ABDD-4F4C-94EC-455FFF8010DB}" name="Lag" dataDxfId="187"/>
    <tableColumn id="2" xr3:uid="{7290AF06-74B2-4AD4-89C6-793922714CC9}" name="Scenarie 1: KT" dataDxfId="186"/>
    <tableColumn id="3" xr3:uid="{5A31ECF6-EF9E-46C3-9E21-C094624C7DA9}" name="Scenarie 2: KM" dataDxfId="185"/>
    <tableColumn id="4" xr3:uid="{648E079F-9F56-4BA9-B0CF-556E7733A28B}" name="Scenarie 2: KL" dataDxfId="184"/>
    <tableColumn id="5" xr3:uid="{00C046AD-E397-414B-A201-915E78AE7B17}" name="Scenarie 4: BT" dataDxfId="183"/>
    <tableColumn id="6" xr3:uid="{8F7858EE-3CB4-4E7A-9358-13D12857B8CC}" name="Scenarie 5: BM" dataDxfId="182"/>
    <tableColumn id="7" xr3:uid="{9824168A-8077-49BE-ADF3-8850D2AEFC2D}" name="Scenarie 6: BL" dataDxfId="181"/>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6B5BB7C-FE7B-4A21-9AA4-4DCAA7DE84D5}" name="Pris.fundament" displayName="Pris.fundament" ref="A329:C333" totalsRowShown="0" headerRowDxfId="261" dataDxfId="259" headerRowBorderDxfId="260" tableBorderDxfId="258">
  <autoFilter ref="A329:C333" xr:uid="{46B5BB7C-FE7B-4A21-9AA4-4DCAA7DE84D5}"/>
  <tableColumns count="3">
    <tableColumn id="1" xr3:uid="{0C5926E6-81AE-4DDD-A350-0EEE741EAF3D}" name="Materiale" dataDxfId="257"/>
    <tableColumn id="2" xr3:uid="{FE1534B9-5876-452A-B1B0-231A8A3F8F83}" name="Pris" dataDxfId="256"/>
    <tableColumn id="3" xr3:uid="{A3B791EF-B10C-4C24-BBDC-BD2F217D9509}" name="Enhed" dataDxfId="255"/>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E041730-A0E4-43B5-9E87-FA3ECE41579C}" name="Gældende_BR" displayName="Gældende_BR" ref="A429:B437" totalsRowShown="0" headerRowDxfId="254" dataDxfId="253">
  <autoFilter ref="A429:B437" xr:uid="{1E041730-A0E4-43B5-9E87-FA3ECE41579C}"/>
  <tableColumns count="2">
    <tableColumn id="1" xr3:uid="{08DADAC7-BF63-491D-9549-D968AE8B7C3D}" name="År for byggetilladelse" dataDxfId="252"/>
    <tableColumn id="2" xr3:uid="{F6645DB4-419C-4069-BAF8-3936161DFDF1}" name="Gældende BR" dataDxfId="251"/>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720571C4-3129-41E9-8EB2-32395A88BF96}" name="Klimakravene" displayName="Klimakravene" ref="C5:H13" totalsRowShown="0">
  <autoFilter ref="C5:H13" xr:uid="{720571C4-3129-41E9-8EB2-32395A88BF96}"/>
  <tableColumns count="6">
    <tableColumn id="1" xr3:uid="{48DBE0FA-A487-4E91-ACFC-91C8812F3DD1}" name="Klimakrav for bygninger"/>
    <tableColumn id="2" xr3:uid="{D49D7F7E-2A11-4F76-AE44-326AFFFE8A38}" name="Column1"/>
    <tableColumn id="3" xr3:uid="{65E9E2B3-DE10-449E-9E52-D54C31A7014E}" name="2023"/>
    <tableColumn id="4" xr3:uid="{C85C3014-77C6-4204-A145-C471A17440F1}" name="2025"/>
    <tableColumn id="5" xr3:uid="{21FDCD75-DB5A-4AB5-AAAD-13B907D30D25}" name="2027"/>
    <tableColumn id="6" xr3:uid="{E0EE27D9-4611-48F1-90D3-04703C744ECE}" name="2029"/>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2E07CB9-1C03-401C-9ED0-614D1B3F7DCB}" name="Frivillig_CO2" displayName="Frivillig_CO2" ref="C17:H25" totalsRowShown="0">
  <autoFilter ref="C17:H25" xr:uid="{02E07CB9-1C03-401C-9ED0-614D1B3F7DCB}"/>
  <tableColumns count="6">
    <tableColumn id="1" xr3:uid="{8BDCC26D-29AA-484C-A70C-9D2894FEB8D8}" name="Frivillig CO2" dataDxfId="250"/>
    <tableColumn id="2" xr3:uid="{15E90B27-52C7-45EE-A6E0-6B82627B7FD1}" name="Column1" dataDxfId="249"/>
    <tableColumn id="3" xr3:uid="{6AD141D8-B28E-4435-B6E4-7421ADB2C145}" name="2023"/>
    <tableColumn id="4" xr3:uid="{DD5C9147-CD6D-4D40-A0B9-7E44C6FB0CEA}" name="2025">
      <calculatedColumnFormula>F6-1</calculatedColumnFormula>
    </tableColumn>
    <tableColumn id="5" xr3:uid="{BFBFA7B3-B60A-45BA-BB81-D627B5A07267}" name="2027">
      <calculatedColumnFormula>G6-1</calculatedColumnFormula>
    </tableColumn>
    <tableColumn id="6" xr3:uid="{58D7AA21-4B8D-43A8-9DF0-CB512515B276}" name="2029">
      <calculatedColumnFormula>H6-1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5CACAE-DD6E-4EF3-ADC5-2B8206AE9D02}" name="Pris.væg.konstruktion" displayName="Pris.væg.konstruktion" ref="A119:C128" totalsRowShown="0" headerRowDxfId="417" dataDxfId="415" headerRowBorderDxfId="416" tableBorderDxfId="414">
  <autoFilter ref="A119:C128" xr:uid="{465CACAE-DD6E-4EF3-ADC5-2B8206AE9D02}"/>
  <tableColumns count="3">
    <tableColumn id="1" xr3:uid="{6323B83A-8657-4BB6-8E59-8F06EEB556FC}" name="Materiale" dataDxfId="413"/>
    <tableColumn id="2" xr3:uid="{0506F4F8-C5EF-4381-974E-CF2A60A80BA5}" name="Pris" dataDxfId="412"/>
    <tableColumn id="3" xr3:uid="{13B5188C-F2D6-48F3-8A68-2B558C305C0E}" name="Enhed" dataDxfId="41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C0087A-0DBA-4C58-AB54-8659353F1534}" name="Pris.isolering" displayName="Pris.isolering" ref="A131:C151" totalsRowShown="0" headerRowDxfId="410" dataDxfId="408" headerRowBorderDxfId="409" tableBorderDxfId="407">
  <autoFilter ref="A131:C151" xr:uid="{A4C0087A-0DBA-4C58-AB54-8659353F1534}"/>
  <tableColumns count="3">
    <tableColumn id="1" xr3:uid="{72AE03AA-2DF1-489B-9B0F-5E7AD67374E0}" name="Materiale" dataDxfId="406"/>
    <tableColumn id="2" xr3:uid="{F1D1950E-BD31-4C44-A433-5A5A81A0350D}" name="Pris" dataDxfId="405"/>
    <tableColumn id="3" xr3:uid="{31DC2CC2-39F6-4E3A-8653-88BA29EF7140}" name="Enhed" dataDxfId="40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881B722-372C-48E8-900A-BF9AC9D73FED}" name="Pris.vinduetype" displayName="Pris.vinduetype" ref="A177:C181" totalsRowShown="0" headerRowDxfId="403" dataDxfId="401" headerRowBorderDxfId="402" tableBorderDxfId="400">
  <autoFilter ref="A177:C181" xr:uid="{1881B722-372C-48E8-900A-BF9AC9D73FED}"/>
  <tableColumns count="3">
    <tableColumn id="1" xr3:uid="{6BB7F728-8CDC-4540-A883-7B8EDB47946B}" name="Materiale" dataDxfId="399"/>
    <tableColumn id="2" xr3:uid="{670CD275-8AF0-4EFD-AF89-630AA7B0B169}" name="Pris" dataDxfId="398"/>
    <tableColumn id="3" xr3:uid="{E4040AAF-9289-4950-93DE-FE7C340FDEDE}" name="Enhed" dataDxfId="39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89D4444-CD29-4F0E-ABF1-7CB6CC5B7901}" name="Pris.udvendig.beklædning" displayName="Pris.udvendig.beklædning" ref="A185:D202" totalsRowShown="0" headerRowDxfId="396" dataDxfId="395">
  <autoFilter ref="A185:D202" xr:uid="{689D4444-CD29-4F0E-ABF1-7CB6CC5B7901}"/>
  <tableColumns count="4">
    <tableColumn id="1" xr3:uid="{CCBD14BC-33BB-4D6F-820E-6ED59D9D8760}" name="Materiale" dataDxfId="394"/>
    <tableColumn id="2" xr3:uid="{2A635390-4351-4268-B7F5-95AB362E4DE5}" name="Pris" dataDxfId="393"/>
    <tableColumn id="3" xr3:uid="{AF74C835-022B-4FC0-A370-3F3FD5A44887}" name="Enhed" dataDxfId="392"/>
    <tableColumn id="4" xr3:uid="{9CE97517-0AF9-48C1-BE66-BE86E215443F}" name="Tykkelse i mm" dataDxfId="39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7E40A14-66ED-4432-9CCD-67ECB8064DD6}" name="Pris.udvendig.konstruktion" displayName="Pris.udvendig.konstruktion" ref="A205:C208" totalsRowShown="0" headerRowDxfId="390" dataDxfId="389">
  <autoFilter ref="A205:C208" xr:uid="{97E40A14-66ED-4432-9CCD-67ECB8064DD6}"/>
  <tableColumns count="3">
    <tableColumn id="1" xr3:uid="{7D90061D-A2B1-4CEB-882C-9E4EF7BB9973}" name="Materiale" dataDxfId="388"/>
    <tableColumn id="2" xr3:uid="{6B44A924-CC35-420C-BA12-6CD4112A671B}" name="Pris" dataDxfId="387"/>
    <tableColumn id="3" xr3:uid="{7AF39CEA-CDCA-4B11-B2B1-60C50E5B8C62}" name="Enhed" dataDxfId="38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851B2D6-56BD-45CF-9718-4046A3B59EC0}" name="Pris.indvendig.konstruktion" displayName="Pris.indvendig.konstruktion" ref="A211:D223" totalsRowShown="0" headerRowDxfId="385" dataDxfId="384">
  <autoFilter ref="A211:D223" xr:uid="{C851B2D6-56BD-45CF-9718-4046A3B59EC0}"/>
  <tableColumns count="4">
    <tableColumn id="1" xr3:uid="{A3182609-2AD9-4E39-9D5D-CD26DEB27D76}" name="Materiale" dataDxfId="383"/>
    <tableColumn id="2" xr3:uid="{C5FC9799-1B5D-41D2-A844-FF90442F1BEF}" name="Pris" dataDxfId="382"/>
    <tableColumn id="3" xr3:uid="{96132D00-B269-42CE-B062-442D0D9EAD76}" name="Enhed" dataDxfId="381"/>
    <tableColumn id="4" xr3:uid="{1E2628DC-1F2F-4AF0-9C39-CC330A34456E}" name="Tykkelse mm" dataDxfId="380"/>
  </tableColumns>
  <tableStyleInfo name="TableStyleMedium2" showFirstColumn="0" showLastColumn="0" showRowStripes="1" showColumnStripes="0"/>
</table>
</file>

<file path=xl/theme/theme1.xml><?xml version="1.0" encoding="utf-8"?>
<a:theme xmlns:a="http://schemas.openxmlformats.org/drawingml/2006/main" name="Transition tema">
  <a:themeElements>
    <a:clrScheme name="KL">
      <a:dk1>
        <a:sysClr val="windowText" lastClr="000000"/>
      </a:dk1>
      <a:lt1>
        <a:sysClr val="window" lastClr="FFFFFF"/>
      </a:lt1>
      <a:dk2>
        <a:srgbClr val="44546A"/>
      </a:dk2>
      <a:lt2>
        <a:srgbClr val="E7E6E6"/>
      </a:lt2>
      <a:accent1>
        <a:srgbClr val="B4D2AF"/>
      </a:accent1>
      <a:accent2>
        <a:srgbClr val="22273E"/>
      </a:accent2>
      <a:accent3>
        <a:srgbClr val="92847E"/>
      </a:accent3>
      <a:accent4>
        <a:srgbClr val="EDE2DC"/>
      </a:accent4>
      <a:accent5>
        <a:srgbClr val="DEA0A0"/>
      </a:accent5>
      <a:accent6>
        <a:srgbClr val="C6C6E5"/>
      </a:accent6>
      <a:hlink>
        <a:srgbClr val="F7DFAD"/>
      </a:hlink>
      <a:folHlink>
        <a:srgbClr val="B5B7B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V10" dT="2021-09-23T12:22:54.44" personId="{3BE2D71F-FE24-4FEC-A2A4-CB3135009AF2}" id="{94D6A391-2874-427E-A212-F84E7011C35C}">
    <text>Beregning udført i bæredygtighedsværktøj 22_09-2021</text>
  </threadedComment>
  <threadedComment ref="AA10" dT="2021-09-23T12:22:54.44" personId="{3BE2D71F-FE24-4FEC-A2A4-CB3135009AF2}" id="{933D685D-9B78-4C7A-A18F-2873C15498FE}">
    <text>Beregning udført i bæredygtighedsværktøj 22_09-2021</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staalxperten.dk/stalror/rustfri-stalror/rustfri-stalror-ubehandlet.html"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6" Type="http://schemas.openxmlformats.org/officeDocument/2006/relationships/hyperlink" Target="https://www.eco-logisch.nl/Gramitherm-Gramitherm-Isolatie---Per-Pak-11903" TargetMode="External"/><Relationship Id="rId21" Type="http://schemas.openxmlformats.org/officeDocument/2006/relationships/hyperlink" Target="https://www.buildwithnature.us/walls" TargetMode="External"/><Relationship Id="rId34" Type="http://schemas.openxmlformats.org/officeDocument/2006/relationships/table" Target="../tables/table6.xml"/><Relationship Id="rId42" Type="http://schemas.openxmlformats.org/officeDocument/2006/relationships/table" Target="../tables/table14.xml"/><Relationship Id="rId47" Type="http://schemas.openxmlformats.org/officeDocument/2006/relationships/table" Target="../tables/table19.xml"/><Relationship Id="rId50" Type="http://schemas.openxmlformats.org/officeDocument/2006/relationships/table" Target="../tables/table22.xml"/><Relationship Id="rId55" Type="http://schemas.openxmlformats.org/officeDocument/2006/relationships/table" Target="../tables/table27.xml"/><Relationship Id="rId63" Type="http://schemas.openxmlformats.org/officeDocument/2006/relationships/table" Target="../tables/table35.xml"/><Relationship Id="rId7" Type="http://schemas.openxmlformats.org/officeDocument/2006/relationships/hyperlink" Target="https://gamlemursten.dk/produkter/murstenskaller/hvid-kalsalux-glat-skal/" TargetMode="External"/><Relationship Id="rId2" Type="http://schemas.openxmlformats.org/officeDocument/2006/relationships/hyperlink" Target="https://bygsundt.dk/shop/28-lerplader/20-claytec-lerplade-20-mm-pr-m2/" TargetMode="External"/><Relationship Id="rId16" Type="http://schemas.openxmlformats.org/officeDocument/2006/relationships/hyperlink" Target="https://www.bygmax.dk/knauf-ecobatt-37-245x980x560-mm-32-pk-palle.html?_gl=1*1y4iylz*_up*MQ..*_ga*OTA3MDI5ODI3LjE3MDQzODI3MDI.*_ga_673SECZ821*MTcwNDM4MjcwMi4xLjEuMTcwNDM4MjcxMC4wLjAuMA.." TargetMode="External"/><Relationship Id="rId29" Type="http://schemas.openxmlformats.org/officeDocument/2006/relationships/hyperlink" Target="https://bygsundt.dk/shop/28-lerplader/20-claytec-lerplade-20-mm-pr-m2/" TargetMode="External"/><Relationship Id="rId11" Type="http://schemas.openxmlformats.org/officeDocument/2006/relationships/hyperlink" Target="https://www.lilleheden.dk/Files/Files/Produkter/CLT/Prisliste_CLT_Lilleheden_marts2019.pdf" TargetMode="External"/><Relationship Id="rId24" Type="http://schemas.openxmlformats.org/officeDocument/2006/relationships/hyperlink" Target="https://www.bygmax.dk/knauf-ecobatt-37-245x980x560-mm-32-pk-palle.html?_gl=1*1y4iylz*_up*MQ..*_ga*OTA3MDI5ODI3LjE3MDQzODI3MDI.*_ga_673SECZ821*MTcwNDM4MjcwMi4xLjEuMTcwNDM4MjcxMC4wLjAuMA.." TargetMode="External"/><Relationship Id="rId32" Type="http://schemas.openxmlformats.org/officeDocument/2006/relationships/table" Target="../tables/table4.xml"/><Relationship Id="rId37" Type="http://schemas.openxmlformats.org/officeDocument/2006/relationships/table" Target="../tables/table9.xml"/><Relationship Id="rId40" Type="http://schemas.openxmlformats.org/officeDocument/2006/relationships/table" Target="../tables/table12.xml"/><Relationship Id="rId45" Type="http://schemas.openxmlformats.org/officeDocument/2006/relationships/table" Target="../tables/table17.xml"/><Relationship Id="rId53" Type="http://schemas.openxmlformats.org/officeDocument/2006/relationships/table" Target="../tables/table25.xml"/><Relationship Id="rId58" Type="http://schemas.openxmlformats.org/officeDocument/2006/relationships/table" Target="../tables/table30.xml"/><Relationship Id="rId66" Type="http://schemas.openxmlformats.org/officeDocument/2006/relationships/table" Target="../tables/table38.xml"/><Relationship Id="rId5" Type="http://schemas.openxmlformats.org/officeDocument/2006/relationships/hyperlink" Target="https://www.lilleheden.dk/Files/Files/Produkter/CLT/Prisliste_CLT_Lilleheden_marts2019.pdf" TargetMode="External"/><Relationship Id="rId61" Type="http://schemas.openxmlformats.org/officeDocument/2006/relationships/table" Target="../tables/table33.xml"/><Relationship Id="rId19" Type="http://schemas.openxmlformats.org/officeDocument/2006/relationships/hyperlink" Target="https://www.energieheld.de/daemmung/daemmstoffe/schafwolle" TargetMode="External"/><Relationship Id="rId14" Type="http://schemas.openxmlformats.org/officeDocument/2006/relationships/hyperlink" Target="https://goerdetselv.dk/spar-energi/isolering/isoleringsmateriale/isoleringsmateriale-de-6-mest-almindelige-typer-isolering" TargetMode="External"/><Relationship Id="rId22" Type="http://schemas.openxmlformats.org/officeDocument/2006/relationships/hyperlink" Target="https://goerdetselv.dk/spar-energi/isolering/isoleringsmateriale/isoleringsmateriale-de-6-mest-almindelige-typer-isolering" TargetMode="External"/><Relationship Id="rId27" Type="http://schemas.openxmlformats.org/officeDocument/2006/relationships/hyperlink" Target="https://www.energieheld.de/daemmung/daemmstoffe/schafwolle" TargetMode="External"/><Relationship Id="rId30" Type="http://schemas.openxmlformats.org/officeDocument/2006/relationships/hyperlink" Target="https://www.lomax.dk/moebler/akustik-og-skillevaegge/akustikplader/basic-akustikpanel-25-mm-244x605-cm-olieret-eg-80118253/?pla=1&amp;gad_source=1&amp;gclid=Cj0KCQiAy9msBhD0ARIsANbk0A-E47mCGdP6jcheJyq0hfatdsuzadcJ7FI0_svggzPDkx5DkrUz0QIaAoH2EALw_wcB&amp;gclsrc=aw.ds" TargetMode="External"/><Relationship Id="rId35" Type="http://schemas.openxmlformats.org/officeDocument/2006/relationships/table" Target="../tables/table7.xml"/><Relationship Id="rId43" Type="http://schemas.openxmlformats.org/officeDocument/2006/relationships/table" Target="../tables/table15.xml"/><Relationship Id="rId48" Type="http://schemas.openxmlformats.org/officeDocument/2006/relationships/table" Target="../tables/table20.xml"/><Relationship Id="rId56" Type="http://schemas.openxmlformats.org/officeDocument/2006/relationships/table" Target="../tables/table28.xml"/><Relationship Id="rId64" Type="http://schemas.openxmlformats.org/officeDocument/2006/relationships/table" Target="../tables/table36.xml"/><Relationship Id="rId8" Type="http://schemas.openxmlformats.org/officeDocument/2006/relationships/hyperlink" Target="https://www.davidsen.dk/kirkedal-komposit-profilbraet-k1-25x150x1800-mm-fer-not-c-id571747-p-61901826497000" TargetMode="External"/><Relationship Id="rId51" Type="http://schemas.openxmlformats.org/officeDocument/2006/relationships/table" Target="../tables/table23.xml"/><Relationship Id="rId3" Type="http://schemas.openxmlformats.org/officeDocument/2006/relationships/hyperlink" Target="https://www.lilleheden.dk/Files/Files/Produkter/CLT/Prisliste_CLT_Lilleheden_marts2019.pdf" TargetMode="External"/><Relationship Id="rId12" Type="http://schemas.openxmlformats.org/officeDocument/2006/relationships/hyperlink" Target="https://gamlemursten.dk/produkter/murstenskaller/hvid-kalsalux-glat-skal/" TargetMode="External"/><Relationship Id="rId17" Type="http://schemas.openxmlformats.org/officeDocument/2006/relationships/hyperlink" Target="https://www.phstore.co.uk/foamglas/foamglas-f-slab" TargetMode="External"/><Relationship Id="rId25" Type="http://schemas.openxmlformats.org/officeDocument/2006/relationships/hyperlink" Target="https://www.phstore.co.uk/foamglas/foamglas-f-slab" TargetMode="External"/><Relationship Id="rId33" Type="http://schemas.openxmlformats.org/officeDocument/2006/relationships/table" Target="../tables/table5.xml"/><Relationship Id="rId38" Type="http://schemas.openxmlformats.org/officeDocument/2006/relationships/table" Target="../tables/table10.xml"/><Relationship Id="rId46" Type="http://schemas.openxmlformats.org/officeDocument/2006/relationships/table" Target="../tables/table18.xml"/><Relationship Id="rId59" Type="http://schemas.openxmlformats.org/officeDocument/2006/relationships/table" Target="../tables/table31.xml"/><Relationship Id="rId67" Type="http://schemas.openxmlformats.org/officeDocument/2006/relationships/table" Target="../tables/table39.xml"/><Relationship Id="rId20" Type="http://schemas.openxmlformats.org/officeDocument/2006/relationships/hyperlink" Target="https://www.energieheld.de/daemmung/daemmstoffe/hanf" TargetMode="External"/><Relationship Id="rId41" Type="http://schemas.openxmlformats.org/officeDocument/2006/relationships/table" Target="../tables/table13.xml"/><Relationship Id="rId54" Type="http://schemas.openxmlformats.org/officeDocument/2006/relationships/table" Target="../tables/table26.xml"/><Relationship Id="rId62" Type="http://schemas.openxmlformats.org/officeDocument/2006/relationships/table" Target="../tables/table34.xml"/><Relationship Id="rId1" Type="http://schemas.openxmlformats.org/officeDocument/2006/relationships/hyperlink" Target="https://www.bygma.dk/byggematerialer/byggeplader/gipsplader/fibergips/fermacell-fibergips-retkant---15x900x1200mm100p032987/" TargetMode="External"/><Relationship Id="rId6" Type="http://schemas.openxmlformats.org/officeDocument/2006/relationships/hyperlink" Target="https://gamlemursten.dk/produkter/murstenskaller/hvid-kalsalux-glat-skal/" TargetMode="External"/><Relationship Id="rId15" Type="http://schemas.openxmlformats.org/officeDocument/2006/relationships/hyperlink" Target="https://korkbutik.dk/produkt/kork-isolering-1000mmx500mm-50mm/" TargetMode="External"/><Relationship Id="rId23" Type="http://schemas.openxmlformats.org/officeDocument/2006/relationships/hyperlink" Target="https://korkbutik.dk/produkt/kork-isolering-1000mmx500mm-50mm/" TargetMode="External"/><Relationship Id="rId28" Type="http://schemas.openxmlformats.org/officeDocument/2006/relationships/hyperlink" Target="https://www.energieheld.de/daemmung/daemmstoffe/hanf" TargetMode="External"/><Relationship Id="rId36" Type="http://schemas.openxmlformats.org/officeDocument/2006/relationships/table" Target="../tables/table8.xml"/><Relationship Id="rId49" Type="http://schemas.openxmlformats.org/officeDocument/2006/relationships/table" Target="../tables/table21.xml"/><Relationship Id="rId57" Type="http://schemas.openxmlformats.org/officeDocument/2006/relationships/table" Target="../tables/table29.xml"/><Relationship Id="rId10" Type="http://schemas.openxmlformats.org/officeDocument/2006/relationships/hyperlink" Target="https://gamlemursten.dk/produkter/murstenskaller/hvid-kalsalux-glat-skal/" TargetMode="External"/><Relationship Id="rId31" Type="http://schemas.openxmlformats.org/officeDocument/2006/relationships/table" Target="../tables/table3.xml"/><Relationship Id="rId44" Type="http://schemas.openxmlformats.org/officeDocument/2006/relationships/table" Target="../tables/table16.xml"/><Relationship Id="rId52" Type="http://schemas.openxmlformats.org/officeDocument/2006/relationships/table" Target="../tables/table24.xml"/><Relationship Id="rId60" Type="http://schemas.openxmlformats.org/officeDocument/2006/relationships/table" Target="../tables/table32.xml"/><Relationship Id="rId65" Type="http://schemas.openxmlformats.org/officeDocument/2006/relationships/table" Target="../tables/table37.xml"/><Relationship Id="rId4" Type="http://schemas.openxmlformats.org/officeDocument/2006/relationships/hyperlink" Target="https://www.lilleheden.dk/Files/Files/Produkter/CLT/Prisliste_CLT_Lilleheden_marts2019.pdf" TargetMode="External"/><Relationship Id="rId9" Type="http://schemas.openxmlformats.org/officeDocument/2006/relationships/hyperlink" Target="https://naturskifer.nu/index.php/product/rio-multicolor-br-40x20/" TargetMode="External"/><Relationship Id="rId13" Type="http://schemas.openxmlformats.org/officeDocument/2006/relationships/hyperlink" Target="https://www.buildwithnature.us/walls" TargetMode="External"/><Relationship Id="rId18" Type="http://schemas.openxmlformats.org/officeDocument/2006/relationships/hyperlink" Target="https://www.eco-logisch.nl/Gramitherm-Gramitherm-Isolatie---Per-Pak-11903" TargetMode="External"/><Relationship Id="rId39"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epddanmark.dk/epd-databasen/gamle-mursten-aps/" TargetMode="External"/><Relationship Id="rId13" Type="http://schemas.openxmlformats.org/officeDocument/2006/relationships/drawing" Target="../drawings/drawing4.xml"/><Relationship Id="rId3" Type="http://schemas.openxmlformats.org/officeDocument/2006/relationships/hyperlink" Target="chrome-extension://efaidnbmnnnibpcajpcglclefindmkaj/https:/hunton.dk/wp-content/uploads/sites/15/2021/12/NEPD-2287-1041_Hunton-Trefiberisolasjon-Plate-1.pdf" TargetMode="External"/><Relationship Id="rId7" Type="http://schemas.openxmlformats.org/officeDocument/2006/relationships/hyperlink" Target="chrome-extension://efaidnbmnnnibpcajpcglclefindmkaj/https:/www.epddanmark.dk/media/2q4hx5my/md-22019-en.pdf" TargetMode="External"/><Relationship Id="rId12" Type="http://schemas.openxmlformats.org/officeDocument/2006/relationships/printerSettings" Target="../printerSettings/printerSettings4.bin"/><Relationship Id="rId2" Type="http://schemas.openxmlformats.org/officeDocument/2006/relationships/hyperlink" Target="chrome-extension://efaidnbmnnnibpcajpcglclefindmkaj/https:/nviro.dk/wp-content/uploads/2022/04/EPD-ISOCELL-ECIA.pdf" TargetMode="External"/><Relationship Id="rId1" Type="http://schemas.openxmlformats.org/officeDocument/2006/relationships/hyperlink" Target="chrome-extension://efaidnbmnnnibpcajpcglclefindmkaj/https:/nviro.dk/wp-content/uploads/2022/04/EPD-ISOCELL-ECIA.pdf" TargetMode="External"/><Relationship Id="rId6" Type="http://schemas.openxmlformats.org/officeDocument/2006/relationships/hyperlink" Target="chrome-extension://efaidnbmnnnibpcajpcglclefindmkaj/https:/gramitherm.eu/wp-content/uploads/2023/05/BE-EPD-23.0183.001_00.01-EN-Gramitherm.pdf" TargetMode="External"/><Relationship Id="rId11" Type="http://schemas.openxmlformats.org/officeDocument/2006/relationships/hyperlink" Target="https://www.knaufinsulation.com/download-epd-mineral-plus" TargetMode="External"/><Relationship Id="rId5" Type="http://schemas.openxmlformats.org/officeDocument/2006/relationships/hyperlink" Target="https://www.knaufinsulation.com/download-epd-mineral-plus" TargetMode="External"/><Relationship Id="rId10" Type="http://schemas.openxmlformats.org/officeDocument/2006/relationships/hyperlink" Target="https://api.environdec.com/api/v1/EPDLibrary/Files/fe4f2a03-29d0-4fad-9236-08dc0c71a3ba/Data" TargetMode="External"/><Relationship Id="rId4" Type="http://schemas.openxmlformats.org/officeDocument/2006/relationships/hyperlink" Target="chrome-extension://efaidnbmnnnibpcajpcglclefindmkaj/https:/hunton.dk/wp-content/uploads/sites/15/2021/12/NEPD-2287-1041_Hunton-Trefiberisolasjon-Plate-1.pdf" TargetMode="External"/><Relationship Id="rId9" Type="http://schemas.openxmlformats.org/officeDocument/2006/relationships/hyperlink" Target="https://www.epddanmark.dk/epd-databasen/a-s-ikast-betonvarefabrik/ibf-tagst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17" Type="http://schemas.openxmlformats.org/officeDocument/2006/relationships/hyperlink" Target="https://www.oekobaudat.de/OEKOBAU.DAT/datasetdetail/process.xhtml?uuid=b9c775be-d100-4d35-bdf3-c5964e655692&amp;version=20.19.120" TargetMode="External"/><Relationship Id="rId21" Type="http://schemas.openxmlformats.org/officeDocument/2006/relationships/hyperlink" Target="https://www.oekobaudat.de/OEKOBAU.DAT/datasetdetail/process.xhtml?uuid=07423e99-8c7c-4e93-8311-dcf7ae85c41d&amp;version=20.20.010" TargetMode="External"/><Relationship Id="rId42" Type="http://schemas.openxmlformats.org/officeDocument/2006/relationships/hyperlink" Target="https://www.oekobaudat.de/OEKOBAU.DAT/datasetdetail/process.xhtml?uuid=fcf6494c-aad2-4180-b1a2-392cc954ae52&amp;version=20.19.120" TargetMode="External"/><Relationship Id="rId63" Type="http://schemas.openxmlformats.org/officeDocument/2006/relationships/hyperlink" Target="https://www.oekobaudat.de/OEKOBAU.DAT/datasetdetail/process.xhtml?uuid=70f6e305-e46f-4719-a94f-70267b936029&amp;version=20.19.120" TargetMode="External"/><Relationship Id="rId84" Type="http://schemas.openxmlformats.org/officeDocument/2006/relationships/hyperlink" Target="https://www.oekobaudat.de/OEKOBAU.DAT/datasetdetail/process.xhtml?uuid=703eec32-59af-47e1-9c91-4a32afe3187f&amp;version=20.19.120" TargetMode="External"/><Relationship Id="rId138" Type="http://schemas.openxmlformats.org/officeDocument/2006/relationships/drawing" Target="../drawings/drawing5.xml"/><Relationship Id="rId16" Type="http://schemas.openxmlformats.org/officeDocument/2006/relationships/hyperlink" Target="https://www.oekobaudat.de/OEKOBAU.DAT/datasetdetail/process.xhtml?uuid=07423e99-8c7c-4e93-8311-dcf7ae85c41d&amp;version=20.20.010" TargetMode="External"/><Relationship Id="rId107" Type="http://schemas.openxmlformats.org/officeDocument/2006/relationships/hyperlink" Target="https://www.oekobaudat.de/OEKOBAU.DAT/datasetdetail/process.xhtml?uuid=fafd5743-0b42-4614-8e3d-5c4eacdfba98&amp;version=20.20.020" TargetMode="External"/><Relationship Id="rId11" Type="http://schemas.openxmlformats.org/officeDocument/2006/relationships/hyperlink" Target="https://www.oekobaudat.de/OEKOBAU.DAT/datasetdetail/process.xhtml?uuid=b9c775be-d100-4d35-bdf3-c5964e655692&amp;version=20.19.120" TargetMode="External"/><Relationship Id="rId32" Type="http://schemas.openxmlformats.org/officeDocument/2006/relationships/hyperlink" Target="https://www.oekobaudat.de/OEKOBAU.DAT/datasetdetail/process.xhtml?uuid=55943b94-ad62-4372-9dfc-bc50e19e52c0&amp;version=00.05.000" TargetMode="External"/><Relationship Id="rId37" Type="http://schemas.openxmlformats.org/officeDocument/2006/relationships/hyperlink" Target="https://www.oekobaudat.de/OEKOBAU.DAT/datasetdetail/process.xhtml?uuid=5cb2c568-76fe-4803-8b46-0084e79800c8&amp;version=00.06.000" TargetMode="External"/><Relationship Id="rId53" Type="http://schemas.openxmlformats.org/officeDocument/2006/relationships/hyperlink" Target="https://www.oekobaudat.de/OEKOBAU.DAT/datasetdetail/process.xhtml?uuid=948f8f68-f1f2-42f6-8350-6e27d6e80c7c&amp;version=20.19.120" TargetMode="External"/><Relationship Id="rId58" Type="http://schemas.openxmlformats.org/officeDocument/2006/relationships/hyperlink" Target="https://www.oekobaudat.de/OEKOBAU.DAT/datasetdetail/process.xhtml?uuid=b9c775be-d100-4d35-bdf3-c5964e655692&amp;version=20.19.120" TargetMode="External"/><Relationship Id="rId74" Type="http://schemas.openxmlformats.org/officeDocument/2006/relationships/hyperlink" Target="https://www.oekobaudat.de/OEKOBAU.DAT/datasetdetail/process.xhtml?uuid=703eec32-59af-47e1-9c91-4a32afe3187f&amp;version=20.19.120" TargetMode="External"/><Relationship Id="rId79" Type="http://schemas.openxmlformats.org/officeDocument/2006/relationships/hyperlink" Target="https://www.oekobaudat.de/OEKOBAU.DAT/datasetdetail/process.xhtml?uuid=64da45fc-f415-4875-8a4e-7c23fe7a7aa9&amp;version=20.20.010" TargetMode="External"/><Relationship Id="rId102" Type="http://schemas.openxmlformats.org/officeDocument/2006/relationships/hyperlink" Target="https://www.oekobaudat.de/OEKOBAU.DAT/datasetdetail/process.xhtml?uuid=cc180aec-8a5c-4e07-b1a0-1ab81dd746ac&amp;version=20.19.120" TargetMode="External"/><Relationship Id="rId123" Type="http://schemas.openxmlformats.org/officeDocument/2006/relationships/hyperlink" Target="https://www.oekobaudat.de/OEKOBAU.DAT/datasetdetail/process.xhtml?uuid=b9c775be-d100-4d35-bdf3-c5964e655692&amp;version=20.19.120" TargetMode="External"/><Relationship Id="rId128" Type="http://schemas.openxmlformats.org/officeDocument/2006/relationships/hyperlink" Target="https://www.oekobaudat.de/OEKOBAU.DAT/datasetdetail/process.xhtml?uuid=d63926ea-8473-4ea7-b965-a7bae6e5e022&amp;version=00.07.000" TargetMode="External"/><Relationship Id="rId5" Type="http://schemas.openxmlformats.org/officeDocument/2006/relationships/hyperlink" Target="https://www.oekobaudat.de/OEKOBAU.DAT/datasetdetail/process.xhtml?uuid=b9c775be-d100-4d35-bdf3-c5964e655692&amp;version=20.19.120" TargetMode="External"/><Relationship Id="rId90" Type="http://schemas.openxmlformats.org/officeDocument/2006/relationships/hyperlink" Target="https://www.oekobaudat.de/OEKOBAU.DAT/datasetdetail/process.xhtml?uuid=b9c775be-d100-4d35-bdf3-c5964e655692&amp;version=20.19.120" TargetMode="External"/><Relationship Id="rId95" Type="http://schemas.openxmlformats.org/officeDocument/2006/relationships/hyperlink" Target="https://www.oekobaudat.de/OEKOBAU.DAT/datasetdetail/process.xhtml?uuid=76d3f78a-8743-49fe-b4a1-f43b819cb930&amp;version=20.19.120" TargetMode="External"/><Relationship Id="rId22" Type="http://schemas.openxmlformats.org/officeDocument/2006/relationships/hyperlink" Target="https://www.oekobaudat.de/OEKOBAU.DAT/datasetdetail/process.xhtml?uuid=b9c775be-d100-4d35-bdf3-c5964e655692&amp;version=20.19.120" TargetMode="External"/><Relationship Id="rId27" Type="http://schemas.openxmlformats.org/officeDocument/2006/relationships/hyperlink" Target="https://www.oekobaudat.de/OEKOBAU.DAT/datasetdetail/process.xhtml?uuid=703eec32-59af-47e1-9c91-4a32afe3187f&amp;version=20.19.120" TargetMode="External"/><Relationship Id="rId43" Type="http://schemas.openxmlformats.org/officeDocument/2006/relationships/hyperlink" Target="https://www.oekobaudat.de/OEKOBAU.DAT/datasetdetail/process.xhtml?uuid=948f8f68-f1f2-42f6-8350-6e27d6e80c7c&amp;version=20.19.120" TargetMode="External"/><Relationship Id="rId48" Type="http://schemas.openxmlformats.org/officeDocument/2006/relationships/hyperlink" Target="https://www.oekobaudat.de/OEKOBAU.DAT/datasetdetail/process.xhtml?uuid=fcf6494c-aad2-4180-b1a2-392cc954ae52&amp;version=20.19.120" TargetMode="External"/><Relationship Id="rId64" Type="http://schemas.openxmlformats.org/officeDocument/2006/relationships/hyperlink" Target="https://www.oekobaudat.de/OEKOBAU.DAT/datasetdetail/process.xhtml?uuid=64da45fc-f415-4875-8a4e-7c23fe7a7aa9&amp;version=20.20.010" TargetMode="External"/><Relationship Id="rId69" Type="http://schemas.openxmlformats.org/officeDocument/2006/relationships/hyperlink" Target="https://www.oekobaudat.de/OEKOBAU.DAT/datasetdetail/process.xhtml?uuid=703eec32-59af-47e1-9c91-4a32afe3187f&amp;version=20.19.120" TargetMode="External"/><Relationship Id="rId113" Type="http://schemas.openxmlformats.org/officeDocument/2006/relationships/hyperlink" Target="https://www.oekobaudat.de/OEKOBAU.DAT/datasetdetail/process.xhtml?uuid=fcf6494c-aad2-4180-b1a2-392cc954ae52&amp;version=20.19.120" TargetMode="External"/><Relationship Id="rId118" Type="http://schemas.openxmlformats.org/officeDocument/2006/relationships/hyperlink" Target="https://www.oekobaudat.de/OEKOBAU.DAT/datasetdetail/process.xhtml?uuid=56e977b3-d042-4843-b40d-3a33dbb5a555&amp;version=20.20.010" TargetMode="External"/><Relationship Id="rId134" Type="http://schemas.openxmlformats.org/officeDocument/2006/relationships/hyperlink" Target="https://www.oekobaudat.de/OEKOBAU.DAT/datasetdetail/process.xhtml?uuid=5cb2c568-76fe-4803-8b46-0084e79800c8&amp;version=00.06.000" TargetMode="External"/><Relationship Id="rId80" Type="http://schemas.openxmlformats.org/officeDocument/2006/relationships/hyperlink" Target="https://www.oekobaudat.de/OEKOBAU.DAT/datasetdetail/process.xhtml?uuid=d56bd904-09a0-4d30-bdbe-5d4f892cc12b&amp;version=20.20.010" TargetMode="External"/><Relationship Id="rId85" Type="http://schemas.openxmlformats.org/officeDocument/2006/relationships/hyperlink" Target="https://www.oekobaudat.de/OEKOBAU.DAT/datasetdetail/process.xhtml?uuid=a3662e98-9dc9-412f-9603-47f653f3db7f&amp;version=00.03.000" TargetMode="External"/><Relationship Id="rId12" Type="http://schemas.openxmlformats.org/officeDocument/2006/relationships/hyperlink" Target="https://www.oekobaudat.de/OEKOBAU.DAT/datasetdetail/process.xhtml?uuid=07423e99-8c7c-4e93-8311-dcf7ae85c41d&amp;version=20.20.010" TargetMode="External"/><Relationship Id="rId17" Type="http://schemas.openxmlformats.org/officeDocument/2006/relationships/hyperlink" Target="https://www.oekobaudat.de/OEKOBAU.DAT/datasetdetail/process.xhtml?uuid=b9c775be-d100-4d35-bdf3-c5964e655692&amp;version=20.19.120" TargetMode="External"/><Relationship Id="rId33" Type="http://schemas.openxmlformats.org/officeDocument/2006/relationships/hyperlink" Target="https://www.oekobaudat.de/OEKOBAU.DAT/datasetdetail/process.xhtml?uuid=ee10b277-07b5-4c0a-8a48-e0412a9630ff&amp;version=00.07.000" TargetMode="External"/><Relationship Id="rId38" Type="http://schemas.openxmlformats.org/officeDocument/2006/relationships/hyperlink" Target="https://www.oekobaudat.de/OEKOBAU.DAT/datasetdetail/process.xhtml?uuid=703eec32-59af-47e1-9c91-4a32afe3187f&amp;version=20.19.120" TargetMode="External"/><Relationship Id="rId59" Type="http://schemas.openxmlformats.org/officeDocument/2006/relationships/hyperlink" Target="https://www.oekobaudat.de/OEKOBAU.DAT/datasetdetail/process.xhtml?uuid=fcf6494c-aad2-4180-b1a2-392cc954ae52&amp;version=20.19.120" TargetMode="External"/><Relationship Id="rId103" Type="http://schemas.openxmlformats.org/officeDocument/2006/relationships/hyperlink" Target="https://www.oekobaudat.de/OEKOBAU.DAT/datasetdetail/process.xhtml?uuid=703eec32-59af-47e1-9c91-4a32afe3187f&amp;version=20.19.120" TargetMode="External"/><Relationship Id="rId108" Type="http://schemas.openxmlformats.org/officeDocument/2006/relationships/hyperlink" Target="https://www.oekobaudat.de/OEKOBAU.DAT/datasetdetail/process.xhtml?uuid=5cb2c568-76fe-4803-8b46-0084e79800c8&amp;version=00.06.000" TargetMode="External"/><Relationship Id="rId124" Type="http://schemas.openxmlformats.org/officeDocument/2006/relationships/hyperlink" Target="https://www.oekobaudat.de/OEKOBAU.DAT/datasetdetail/process.xhtml?uuid=703eec32-59af-47e1-9c91-4a32afe3187f&amp;version=20.19.120" TargetMode="External"/><Relationship Id="rId129" Type="http://schemas.openxmlformats.org/officeDocument/2006/relationships/hyperlink" Target="https://www.oekobaudat.de/OEKOBAU.DAT/datasetdetail/process.xhtml?uuid=5a88b96e-23d0-4656-9ee2-fc271c89c95b&amp;version=20.19.120" TargetMode="External"/><Relationship Id="rId54" Type="http://schemas.openxmlformats.org/officeDocument/2006/relationships/hyperlink" Target="https://www.oekobaudat.de/OEKOBAU.DAT/datasetdetail/process.xhtml?uuid=703eec32-59af-47e1-9c91-4a32afe3187f&amp;version=20.19.120" TargetMode="External"/><Relationship Id="rId70" Type="http://schemas.openxmlformats.org/officeDocument/2006/relationships/hyperlink" Target="https://www.oekobaudat.de/OEKOBAU.DAT/datasetdetail/process.xhtml?uuid=b9c775be-d100-4d35-bdf3-c5964e655692&amp;version=20.19.120" TargetMode="External"/><Relationship Id="rId75" Type="http://schemas.openxmlformats.org/officeDocument/2006/relationships/hyperlink" Target="https://www.oekobaudat.de/OEKOBAU.DAT/datasetdetail/process.xhtml?uuid=b9c775be-d100-4d35-bdf3-c5964e655692&amp;version=20.19.120" TargetMode="External"/><Relationship Id="rId91" Type="http://schemas.openxmlformats.org/officeDocument/2006/relationships/hyperlink" Target="https://www.oekobaudat.de/OEKOBAU.DAT/datasetdetail/process.xhtml?uuid=fcf6494c-aad2-4180-b1a2-392cc954ae52&amp;version=20.19.120" TargetMode="External"/><Relationship Id="rId96" Type="http://schemas.openxmlformats.org/officeDocument/2006/relationships/hyperlink" Target="https://www.oekobaudat.de/OEKOBAU.DAT/datasetdetail/process.xhtml?uuid=5cb2c568-76fe-4803-8b46-0084e79800c8&amp;version=00.06.000" TargetMode="External"/><Relationship Id="rId1" Type="http://schemas.openxmlformats.org/officeDocument/2006/relationships/hyperlink" Target="https://www.oekobaudat.de/OEKOBAU.DAT/datasetdetail/process.xhtml?uuid=b9c775be-d100-4d35-bdf3-c5964e655692&amp;version=20.19.120" TargetMode="External"/><Relationship Id="rId6" Type="http://schemas.openxmlformats.org/officeDocument/2006/relationships/hyperlink" Target="https://www.oekobaudat.de/OEKOBAU.DAT/datasetdetail/process.xhtml?uuid=07423e99-8c7c-4e93-8311-dcf7ae85c41d&amp;version=20.20.010" TargetMode="External"/><Relationship Id="rId23" Type="http://schemas.openxmlformats.org/officeDocument/2006/relationships/hyperlink" Target="https://www.oekobaudat.de/OEKOBAU.DAT/datasetdetail/process.xhtml?uuid=66094ad5-51d6-45c4-b2e3-451220520cab&amp;version=20.19.120" TargetMode="External"/><Relationship Id="rId28" Type="http://schemas.openxmlformats.org/officeDocument/2006/relationships/hyperlink" Target="https://www.oekobaudat.de/OEKOBAU.DAT/datasetdetail/process.xhtml?uuid=fafd5743-0b42-4614-8e3d-5c4eacdfba98&amp;version=20.20.020" TargetMode="External"/><Relationship Id="rId49" Type="http://schemas.openxmlformats.org/officeDocument/2006/relationships/hyperlink" Target="https://www.oekobaudat.de/OEKOBAU.DAT/datasetdetail/process.xhtml?uuid=948f8f68-f1f2-42f6-8350-6e27d6e80c7c&amp;version=20.19.120" TargetMode="External"/><Relationship Id="rId114" Type="http://schemas.openxmlformats.org/officeDocument/2006/relationships/hyperlink" Target="https://www.oekobaudat.de/OEKOBAU.DAT/datasetdetail/process.xhtml?uuid=948f8f68-f1f2-42f6-8350-6e27d6e80c7c&amp;version=20.19.120" TargetMode="External"/><Relationship Id="rId119" Type="http://schemas.openxmlformats.org/officeDocument/2006/relationships/hyperlink" Target="https://www.oekobaudat.de/OEKOBAU.DAT/datasetdetail/process.xhtml?uuid=d63926ea-8473-4ea7-b965-a7bae6e5e022&amp;version=00.07.000" TargetMode="External"/><Relationship Id="rId44" Type="http://schemas.openxmlformats.org/officeDocument/2006/relationships/hyperlink" Target="https://www.oekobaudat.de/OEKOBAU.DAT/datasetdetail/process.xhtml?uuid=b9c775be-d100-4d35-bdf3-c5964e655692&amp;version=20.19.120" TargetMode="External"/><Relationship Id="rId60" Type="http://schemas.openxmlformats.org/officeDocument/2006/relationships/hyperlink" Target="https://www.oekobaudat.de/OEKOBAU.DAT/datasetdetail/process.xhtml?uuid=948f8f68-f1f2-42f6-8350-6e27d6e80c7c&amp;version=20.19.120" TargetMode="External"/><Relationship Id="rId65" Type="http://schemas.openxmlformats.org/officeDocument/2006/relationships/hyperlink" Target="https://www.oekobaudat.de/OEKOBAU.DAT/datasetdetail/process.xhtml?uuid=d56bd904-09a0-4d30-bdbe-5d4f892cc12b&amp;version=20.20.010" TargetMode="External"/><Relationship Id="rId81" Type="http://schemas.openxmlformats.org/officeDocument/2006/relationships/hyperlink" Target="https://epd-online.com/PublishedEpd/Download/9106" TargetMode="External"/><Relationship Id="rId86" Type="http://schemas.openxmlformats.org/officeDocument/2006/relationships/hyperlink" Target="https://www.oekobaudat.de/OEKOBAU.DAT/datasetdetail/process.xhtml?uuid=703eec32-59af-47e1-9c91-4a32afe3187f&amp;version=20.19.120" TargetMode="External"/><Relationship Id="rId130" Type="http://schemas.openxmlformats.org/officeDocument/2006/relationships/hyperlink" Target="https://www.oekobaudat.de/OEKOBAU.DAT/datasetdetail/process.xhtml?uuid=d63926ea-8473-4ea7-b965-a7bae6e5e022&amp;version=00.07.000" TargetMode="External"/><Relationship Id="rId135" Type="http://schemas.openxmlformats.org/officeDocument/2006/relationships/hyperlink" Target="https://www.oekobaudat.de/OEKOBAU.DAT/datasetdetail/process.xhtml?uuid=5c1776a7-de57-4b4d-87fc-933f52fddd6e&amp;version=20.19.120" TargetMode="External"/><Relationship Id="rId13" Type="http://schemas.openxmlformats.org/officeDocument/2006/relationships/hyperlink" Target="https://www.oekobaudat.de/OEKOBAU.DAT/datasetdetail/process.xhtml?uuid=703eec32-59af-47e1-9c91-4a32afe3187f&amp;version=20.19.120" TargetMode="External"/><Relationship Id="rId18" Type="http://schemas.openxmlformats.org/officeDocument/2006/relationships/hyperlink" Target="https://www.oekobaudat.de/OEKOBAU.DAT/datasetdetail/process.xhtml?uuid=703eec32-59af-47e1-9c91-4a32afe3187f&amp;version=20.19.120" TargetMode="External"/><Relationship Id="rId39" Type="http://schemas.openxmlformats.org/officeDocument/2006/relationships/hyperlink" Target="https://www.oekobaudat.de/OEKOBAU.DAT/datasetdetail/process.xhtml?uuid=b9c775be-d100-4d35-bdf3-c5964e655692&amp;version=20.19.120" TargetMode="External"/><Relationship Id="rId109" Type="http://schemas.openxmlformats.org/officeDocument/2006/relationships/hyperlink" Target="https://www.oekobaudat.de/OEKOBAU.DAT/datasetdetail/process.xhtml?uuid=b9c775be-d100-4d35-bdf3-c5964e655692&amp;version=20.19.120" TargetMode="External"/><Relationship Id="rId34" Type="http://schemas.openxmlformats.org/officeDocument/2006/relationships/hyperlink" Target="https://www.oekobaudat.de/OEKOBAU.DAT/datasetdetail/process.xhtml?uuid=b6096c9c-1248-4ce1-9c2d-f4a48aade80f&amp;version=00.02.000" TargetMode="External"/><Relationship Id="rId50" Type="http://schemas.openxmlformats.org/officeDocument/2006/relationships/hyperlink" Target="https://www.oekobaudat.de/OEKOBAU.DAT/datasetdetail/process.xhtml?uuid=b9c775be-d100-4d35-bdf3-c5964e655692&amp;version=20.19.120" TargetMode="External"/><Relationship Id="rId55" Type="http://schemas.openxmlformats.org/officeDocument/2006/relationships/hyperlink" Target="https://www.oekobaudat.de/OEKOBAU.DAT/datasetdetail/process.xhtml?uuid=deb7fe73-3eb8-4f80-937b-7ce3a0a977ed&amp;version=20.20.010" TargetMode="External"/><Relationship Id="rId76" Type="http://schemas.openxmlformats.org/officeDocument/2006/relationships/hyperlink" Target="https://www.oekobaudat.de/OEKOBAU.DAT/datasetdetail/process.xhtml?uuid=703eec32-59af-47e1-9c91-4a32afe3187f&amp;version=20.19.120" TargetMode="External"/><Relationship Id="rId97" Type="http://schemas.openxmlformats.org/officeDocument/2006/relationships/hyperlink" Target="https://www.oekobaudat.de/OEKOBAU.DAT/datasetdetail/process.xhtml?uuid=5cb2c568-76fe-4803-8b46-0084e79800c8&amp;version=00.06.000" TargetMode="External"/><Relationship Id="rId104" Type="http://schemas.openxmlformats.org/officeDocument/2006/relationships/hyperlink" Target="https://www.oekobaudat.de/OEKOBAU.DAT/datasetdetail/process.xhtml?uuid=b9c775be-d100-4d35-bdf3-c5964e655692&amp;version=20.19.120" TargetMode="External"/><Relationship Id="rId120" Type="http://schemas.openxmlformats.org/officeDocument/2006/relationships/hyperlink" Target="https://www.oekobaudat.de/OEKOBAU.DAT/datasetdetail/process.xhtml?uuid=35be6146-5a80-4a9e-a32d-5d05c03a8d5c&amp;version=20.19.120" TargetMode="External"/><Relationship Id="rId125" Type="http://schemas.openxmlformats.org/officeDocument/2006/relationships/hyperlink" Target="https://www.oekobaudat.de/OEKOBAU.DAT/datasetdetail/process.xhtml?uuid=fafd5743-0b42-4614-8e3d-5c4eacdfba98&amp;version=20.20.020" TargetMode="External"/><Relationship Id="rId7" Type="http://schemas.openxmlformats.org/officeDocument/2006/relationships/hyperlink" Target="https://www.oekobaudat.de/OEKOBAU.DAT/datasetdetail/process.xhtml?uuid=aea021e8-7e2f-4f6b-ae3f-a76cba4c5d6e&amp;version=20.19.120" TargetMode="External"/><Relationship Id="rId71" Type="http://schemas.openxmlformats.org/officeDocument/2006/relationships/hyperlink" Target="https://www.oekobaudat.de/OEKOBAU.DAT/datasetdetail/process.xhtml?uuid=e24f9f47-8580-45c2-b16d-45145d65a813&amp;version=20.19.120" TargetMode="External"/><Relationship Id="rId92" Type="http://schemas.openxmlformats.org/officeDocument/2006/relationships/hyperlink" Target="https://www.oekobaudat.de/OEKOBAU.DAT/datasetdetail/process.xhtml?uuid=948f8f68-f1f2-42f6-8350-6e27d6e80c7c&amp;version=20.19.120" TargetMode="External"/><Relationship Id="rId2" Type="http://schemas.openxmlformats.org/officeDocument/2006/relationships/hyperlink" Target="https://www.oekobaudat.de/OEKOBAU.DAT/datasetdetail/process.xhtml?uuid=07423e99-8c7c-4e93-8311-dcf7ae85c41d&amp;version=20.20.010" TargetMode="External"/><Relationship Id="rId29" Type="http://schemas.openxmlformats.org/officeDocument/2006/relationships/hyperlink" Target="https://www.oekobaudat.de/OEKOBAU.DAT/datasetdetail/process.xhtml?uuid=d601d54e-a2eb-42bb-b32b-c59d1b2332a9&amp;version=00.04.000" TargetMode="External"/><Relationship Id="rId24" Type="http://schemas.openxmlformats.org/officeDocument/2006/relationships/hyperlink" Target="https://www.oekobaudat.de/OEKOBAU.DAT/datasetdetail/process.xhtml?uuid=b6096c9c-1248-4ce1-9c2d-f4a48aade80f&amp;version=00.02.000" TargetMode="External"/><Relationship Id="rId40" Type="http://schemas.openxmlformats.org/officeDocument/2006/relationships/hyperlink" Target="https://www.oekobaudat.de/OEKOBAU.DAT/datasetdetail/process.xhtml?uuid=906b4864-0511-480f-a8bc-7b8302efbf0b&amp;version=20.19.120" TargetMode="External"/><Relationship Id="rId45" Type="http://schemas.openxmlformats.org/officeDocument/2006/relationships/hyperlink" Target="https://www.oekobaudat.de/OEKOBAU.DAT/datasetdetail/process.xhtml?uuid=bd6d6d89-b76d-4002-a217-afffbb8aa308&amp;version=20.19.120" TargetMode="External"/><Relationship Id="rId66" Type="http://schemas.openxmlformats.org/officeDocument/2006/relationships/hyperlink" Target="https://www.oekobaudat.de/OEKOBAU.DAT/datasetdetail/process.xhtml?uuid=826fa2c2-c691-4844-83d3-aea0e8a54bcd&amp;version=20.19.120" TargetMode="External"/><Relationship Id="rId87" Type="http://schemas.openxmlformats.org/officeDocument/2006/relationships/hyperlink" Target="https://www.oekobaudat.de/OEKOBAU.DAT/datasetdetail/process.xhtml?uuid=fafd5743-0b42-4614-8e3d-5c4eacdfba98&amp;version=20.20.020" TargetMode="External"/><Relationship Id="rId110" Type="http://schemas.openxmlformats.org/officeDocument/2006/relationships/hyperlink" Target="https://www.oekobaudat.de/OEKOBAU.DAT/datasetdetail/process.xhtml?uuid=fafd5743-0b42-4614-8e3d-5c4eacdfba98&amp;version=20.20.020" TargetMode="External"/><Relationship Id="rId115" Type="http://schemas.openxmlformats.org/officeDocument/2006/relationships/hyperlink" Target="https://www.oekobaudat.de/OEKOBAU.DAT/datasetdetail/process.xhtml?uuid=b9c775be-d100-4d35-bdf3-c5964e655692&amp;version=20.19.120" TargetMode="External"/><Relationship Id="rId131" Type="http://schemas.openxmlformats.org/officeDocument/2006/relationships/hyperlink" Target="https://www.oekobaudat.de/OEKOBAU.DAT/datasetdetail/process.xhtml?uuid=703eec32-59af-47e1-9c91-4a32afe3187f&amp;version=20.19.120" TargetMode="External"/><Relationship Id="rId136" Type="http://schemas.openxmlformats.org/officeDocument/2006/relationships/hyperlink" Target="https://hbemo.dk/haandbog-for-energikonsulenter-hb2021-gaeldende/bilag-4-energimaerkning-af-eksisterende-bygninger/vejledende-tekniske-bilag-og-tabeller/braendsel/braendvaerdier-og-co2-emissionsfaktorer" TargetMode="External"/><Relationship Id="rId61" Type="http://schemas.openxmlformats.org/officeDocument/2006/relationships/hyperlink" Target="https://www.oekobaudat.de/OEKOBAU.DAT/datasetdetail/process.xhtml?uuid=207cde6a-73be-4ffb-972d-30d3d8619fc3&amp;version=20.19.120" TargetMode="External"/><Relationship Id="rId82" Type="http://schemas.openxmlformats.org/officeDocument/2006/relationships/hyperlink" Target="https://www.oekobaudat.de/OEKOBAU.DAT/datasetdetail/process.xhtml?uuid=703eec32-59af-47e1-9c91-4a32afe3187f&amp;version=20.19.120" TargetMode="External"/><Relationship Id="rId19" Type="http://schemas.openxmlformats.org/officeDocument/2006/relationships/hyperlink" Target="https://www.oekobaudat.de/OEKOBAU.DAT/datasetdetail/process.xhtml?uuid=07423e99-8c7c-4e93-8311-dcf7ae85c41d&amp;version=20.20.010" TargetMode="External"/><Relationship Id="rId14" Type="http://schemas.openxmlformats.org/officeDocument/2006/relationships/hyperlink" Target="https://www.oekobaudat.de/OEKOBAU.DAT/datasetdetail/process.xhtml?uuid=07423e99-8c7c-4e93-8311-dcf7ae85c41d&amp;version=20.20.010" TargetMode="External"/><Relationship Id="rId30" Type="http://schemas.openxmlformats.org/officeDocument/2006/relationships/hyperlink" Target="https://www.oekobaudat.de/OEKOBAU.DAT/datasetdetail/process.xhtml?uuid=c355d75b-9026-4899-a41c-e5d221c424f2&amp;version=20.19.120" TargetMode="External"/><Relationship Id="rId35" Type="http://schemas.openxmlformats.org/officeDocument/2006/relationships/hyperlink" Target="https://www.oekobaudat.de/OEKOBAU.DAT/datasetdetail/process.xhtml?uuid=b9c775be-d100-4d35-bdf3-c5964e655692&amp;version=20.19.120" TargetMode="External"/><Relationship Id="rId56" Type="http://schemas.openxmlformats.org/officeDocument/2006/relationships/hyperlink" Target="https://www.oekobaudat.de/OEKOBAU.DAT/datasetdetail/process.xhtml?uuid=7ec1d463-fd99-4b1d-9a57-9a72cac408d2&amp;version=20.19.120" TargetMode="External"/><Relationship Id="rId77" Type="http://schemas.openxmlformats.org/officeDocument/2006/relationships/hyperlink" Target="https://www.oekobaudat.de/OEKOBAU.DAT/datasetdetail/process.xhtml?uuid=b9c775be-d100-4d35-bdf3-c5964e655692&amp;version=20.19.120" TargetMode="External"/><Relationship Id="rId100" Type="http://schemas.openxmlformats.org/officeDocument/2006/relationships/hyperlink" Target="https://www.oekobaudat.de/OEKOBAU.DAT/datasetdetail/process.xhtml?uuid=703eec32-59af-47e1-9c91-4a32afe3187f&amp;version=20.19.120" TargetMode="External"/><Relationship Id="rId105" Type="http://schemas.openxmlformats.org/officeDocument/2006/relationships/hyperlink" Target="https://www.oekobaudat.de/OEKOBAU.DAT/datasetdetail/process.xhtml?uuid=fcf6494c-aad2-4180-b1a2-392cc954ae52&amp;version=20.19.120" TargetMode="External"/><Relationship Id="rId126" Type="http://schemas.openxmlformats.org/officeDocument/2006/relationships/hyperlink" Target="https://www.oekobaudat.de/OEKOBAU.DAT/datasetdetail/process.xhtml?uuid=b9c775be-d100-4d35-bdf3-c5964e655692&amp;version=20.19.120" TargetMode="External"/><Relationship Id="rId8" Type="http://schemas.openxmlformats.org/officeDocument/2006/relationships/hyperlink" Target="https://www.oekobaudat.de/OEKOBAU.DAT/datasetdetail/process.xhtml?uuid=b9c775be-d100-4d35-bdf3-c5964e655692&amp;version=20.19.120" TargetMode="External"/><Relationship Id="rId51" Type="http://schemas.openxmlformats.org/officeDocument/2006/relationships/hyperlink" Target="https://www.oekobaudat.de/OEKOBAU.DAT/datasetdetail/process.xhtml?uuid=b9c775be-d100-4d35-bdf3-c5964e655692&amp;version=20.19.120" TargetMode="External"/><Relationship Id="rId72" Type="http://schemas.openxmlformats.org/officeDocument/2006/relationships/hyperlink" Target="https://www.oekobaudat.de/OEKOBAU.DAT/datasetdetail/process.xhtml?uuid=50c9e674-afd9-456c-9440-6506bec6d55b&amp;version=20.19.120" TargetMode="External"/><Relationship Id="rId93" Type="http://schemas.openxmlformats.org/officeDocument/2006/relationships/hyperlink" Target="https://www.oekobaudat.de/OEKOBAU.DAT/datasetdetail/process.xhtml?uuid=b9c775be-d100-4d35-bdf3-c5964e655692&amp;version=20.19.120" TargetMode="External"/><Relationship Id="rId98" Type="http://schemas.openxmlformats.org/officeDocument/2006/relationships/hyperlink" Target="https://www.oekobaudat.de/OEKOBAU.DAT/datasetdetail/process.xhtml?uuid=4477c6ca-b728-41fb-a231-366e159a73df&amp;version=20.20.020" TargetMode="External"/><Relationship Id="rId121" Type="http://schemas.openxmlformats.org/officeDocument/2006/relationships/hyperlink" Target="https://www.oekobaudat.de/OEKOBAU.DAT/datasetdetail/process.xhtml?uuid=d63926ea-8473-4ea7-b965-a7bae6e5e022&amp;version=00.07.000" TargetMode="External"/><Relationship Id="rId3" Type="http://schemas.openxmlformats.org/officeDocument/2006/relationships/hyperlink" Target="https://www.oekobaudat.de/OEKOBAU.DAT/datasetdetail/process.xhtml?uuid=a4c1c27c-53a0-4027-83f6-88c52c758bb1&amp;version=20.19.120" TargetMode="External"/><Relationship Id="rId25" Type="http://schemas.openxmlformats.org/officeDocument/2006/relationships/hyperlink" Target="https://www.oekobaudat.de/OEKOBAU.DAT/datasetdetail/process.xhtml?uuid=07423e99-8c7c-4e93-8311-dcf7ae85c41d&amp;version=20.20.010" TargetMode="External"/><Relationship Id="rId46" Type="http://schemas.openxmlformats.org/officeDocument/2006/relationships/hyperlink" Target="https://www.oekobaudat.de/OEKOBAU.DAT/datasetdetail/process.xhtml?uuid=31a96d5c-66a3-4de1-a957-6aa4f8f4e53d&amp;version=20.19.120" TargetMode="External"/><Relationship Id="rId67" Type="http://schemas.openxmlformats.org/officeDocument/2006/relationships/hyperlink" Target="https://www.oekobaudat.de/OEKOBAU.DAT/datasetdetail/process.xhtml?uuid=703eec32-59af-47e1-9c91-4a32afe3187f&amp;version=20.19.120" TargetMode="External"/><Relationship Id="rId116" Type="http://schemas.openxmlformats.org/officeDocument/2006/relationships/hyperlink" Target="https://www.oekobaudat.de/OEKOBAU.DAT/datasetdetail/process.xhtml?uuid=5cb2c568-76fe-4803-8b46-0084e79800c8&amp;version=00.06.000" TargetMode="External"/><Relationship Id="rId137" Type="http://schemas.openxmlformats.org/officeDocument/2006/relationships/printerSettings" Target="../printerSettings/printerSettings6.bin"/><Relationship Id="rId20" Type="http://schemas.openxmlformats.org/officeDocument/2006/relationships/hyperlink" Target="https://www.oekobaudat.de/OEKOBAU.DAT/datasetdetail/process.xhtml?uuid=b9c775be-d100-4d35-bdf3-c5964e655692&amp;version=20.19.120" TargetMode="External"/><Relationship Id="rId41" Type="http://schemas.openxmlformats.org/officeDocument/2006/relationships/hyperlink" Target="https://www.oekobaudat.de/OEKOBAU.DAT/datasetdetail/process.xhtml?uuid=78b7cd15-d82a-4ffa-ae08-870b6e5d35d4&amp;version=20.19.120" TargetMode="External"/><Relationship Id="rId62" Type="http://schemas.openxmlformats.org/officeDocument/2006/relationships/hyperlink" Target="https://www.oekobaudat.de/OEKOBAU.DAT/datasetdetail/process.xhtml?uuid=cc180aec-8a5c-4e07-b1a0-1ab81dd746ac&amp;version=20.19.120" TargetMode="External"/><Relationship Id="rId83" Type="http://schemas.openxmlformats.org/officeDocument/2006/relationships/hyperlink" Target="https://www.oekobaudat.de/OEKOBAU.DAT/datasetdetail/process.xhtml?uuid=703eec32-59af-47e1-9c91-4a32afe3187f&amp;version=20.19.120" TargetMode="External"/><Relationship Id="rId88" Type="http://schemas.openxmlformats.org/officeDocument/2006/relationships/hyperlink" Target="https://www.oekobaudat.de/OEKOBAU.DAT/datasetdetail/process.xhtml?uuid=deb7fe73-3eb8-4f80-937b-7ce3a0a977ed&amp;version=20.20.010" TargetMode="External"/><Relationship Id="rId111" Type="http://schemas.openxmlformats.org/officeDocument/2006/relationships/hyperlink" Target="https://www.oekobaudat.de/OEKOBAU.DAT/datasetdetail/process.xhtml?uuid=fcf6494c-aad2-4180-b1a2-392cc954ae52&amp;version=20.19.120" TargetMode="External"/><Relationship Id="rId132" Type="http://schemas.openxmlformats.org/officeDocument/2006/relationships/hyperlink" Target="https://www.oekobaudat.de/OEKOBAU.DAT/datasetdetail/process.xhtml?uuid=b9c775be-d100-4d35-bdf3-c5964e655692&amp;version=20.19.120" TargetMode="External"/><Relationship Id="rId15" Type="http://schemas.openxmlformats.org/officeDocument/2006/relationships/hyperlink" Target="https://www.oekobaudat.de/OEKOBAU.DAT/datasetdetail/process.xhtml?uuid=b9c775be-d100-4d35-bdf3-c5964e655692&amp;version=20.19.120" TargetMode="External"/><Relationship Id="rId36" Type="http://schemas.openxmlformats.org/officeDocument/2006/relationships/hyperlink" Target="https://www.oekobaudat.de/OEKOBAU.DAT/datasetdetail/process.xhtml?uuid=99792cbc-c5f4-4d2d-bc9e-3790509891a0&amp;version=20.20.010" TargetMode="External"/><Relationship Id="rId57" Type="http://schemas.openxmlformats.org/officeDocument/2006/relationships/hyperlink" Target="https://www.oekobaudat.de/OEKOBAU.DAT/datasetdetail/process.xhtml?uuid=b9c775be-d100-4d35-bdf3-c5964e655692&amp;version=20.19.120" TargetMode="External"/><Relationship Id="rId106" Type="http://schemas.openxmlformats.org/officeDocument/2006/relationships/hyperlink" Target="https://www.oekobaudat.de/OEKOBAU.DAT/datasetdetail/process.xhtml?uuid=948f8f68-f1f2-42f6-8350-6e27d6e80c7c&amp;version=20.19.120" TargetMode="External"/><Relationship Id="rId127" Type="http://schemas.openxmlformats.org/officeDocument/2006/relationships/hyperlink" Target="https://www.oekobaudat.de/OEKOBAU.DAT/datasetdetail/process.xhtml?uuid=d63926ea-8473-4ea7-b965-a7bae6e5e022&amp;version=00.07.000" TargetMode="External"/><Relationship Id="rId10" Type="http://schemas.openxmlformats.org/officeDocument/2006/relationships/hyperlink" Target="https://www.oekobaudat.de/OEKOBAU.DAT/datasetdetail/process.xhtml?uuid=1a4a4522-7297-4ae5-a430-689e89ec2159&amp;version=20.19.120" TargetMode="External"/><Relationship Id="rId31" Type="http://schemas.openxmlformats.org/officeDocument/2006/relationships/hyperlink" Target="https://www.oekobaudat.de/OEKOBAU.DAT/datasetdetail/process.xhtml?uuid=2c076ee7-3853-4f69-9bf5-8ec265fa43e0&amp;version=20.19.120" TargetMode="External"/><Relationship Id="rId52" Type="http://schemas.openxmlformats.org/officeDocument/2006/relationships/hyperlink" Target="https://www.oekobaudat.de/OEKOBAU.DAT/datasetdetail/process.xhtml?uuid=cc180aec-8a5c-4e07-b1a0-1ab81dd746ac&amp;version=20.19.120" TargetMode="External"/><Relationship Id="rId73" Type="http://schemas.openxmlformats.org/officeDocument/2006/relationships/hyperlink" Target="https://www.oekobaudat.de/OEKOBAU.DAT/datasetdetail/process.xhtml?uuid=eaec8e5d-f70a-4993-b3a6-814607f5e7b3&amp;version=20.19.120" TargetMode="External"/><Relationship Id="rId78" Type="http://schemas.openxmlformats.org/officeDocument/2006/relationships/hyperlink" Target="https://www.oekobaudat.de/OEKOBAU.DAT/datasetdetail/process.xhtml?uuid=9049a94f-a527-4d87-a4b9-5a3a56f5ea19&amp;version=20.20.010" TargetMode="External"/><Relationship Id="rId94" Type="http://schemas.openxmlformats.org/officeDocument/2006/relationships/hyperlink" Target="https://www.oekobaudat.de/OEKOBAU.DAT/datasetdetail/process.xhtml?uuid=aea021e8-7e2f-4f6b-ae3f-a76cba4c5d6e&amp;version=20.19.120" TargetMode="External"/><Relationship Id="rId99" Type="http://schemas.openxmlformats.org/officeDocument/2006/relationships/hyperlink" Target="https://www.oekobaudat.de/OEKOBAU.DAT/datasetdetail/process.xhtml?uuid=b9c775be-d100-4d35-bdf3-c5964e655692&amp;version=20.19.120" TargetMode="External"/><Relationship Id="rId101" Type="http://schemas.openxmlformats.org/officeDocument/2006/relationships/hyperlink" Target="https://www.oekobaudat.de/OEKOBAU.DAT/datasetdetail/process.xhtml?uuid=b9c775be-d100-4d35-bdf3-c5964e655692&amp;version=20.19.120" TargetMode="External"/><Relationship Id="rId122" Type="http://schemas.openxmlformats.org/officeDocument/2006/relationships/hyperlink" Target="https://www.oekobaudat.de/OEKOBAU.DAT/datasetdetail/process.xhtml?uuid=d63926ea-8473-4ea7-b965-a7bae6e5e022&amp;version=00.07.000" TargetMode="External"/><Relationship Id="rId4" Type="http://schemas.openxmlformats.org/officeDocument/2006/relationships/hyperlink" Target="https://www.oekobaudat.de/OEKOBAU.DAT/datasetdetail/process.xhtml?uuid=07423e99-8c7c-4e93-8311-dcf7ae85c41d&amp;version=20.20.010" TargetMode="External"/><Relationship Id="rId9" Type="http://schemas.openxmlformats.org/officeDocument/2006/relationships/hyperlink" Target="https://www.oekobaudat.de/OEKOBAU.DAT/datasetdetail/process.xhtml?uuid=703eec32-59af-47e1-9c91-4a32afe3187f&amp;version=20.19.120" TargetMode="External"/><Relationship Id="rId26" Type="http://schemas.openxmlformats.org/officeDocument/2006/relationships/hyperlink" Target="https://www.oekobaudat.de/OEKOBAU.DAT/datasetdetail/process.xhtml?uuid=e24f9f47-8580-45c2-b16d-45145d65a813&amp;version=20.19.120" TargetMode="External"/><Relationship Id="rId47" Type="http://schemas.openxmlformats.org/officeDocument/2006/relationships/hyperlink" Target="https://www.oekobaudat.de/OEKOBAU.DAT/datasetdetail/process.xhtml?uuid=b9c775be-d100-4d35-bdf3-c5964e655692&amp;version=20.19.120" TargetMode="External"/><Relationship Id="rId68" Type="http://schemas.openxmlformats.org/officeDocument/2006/relationships/hyperlink" Target="https://www.oekobaudat.de/OEKOBAU.DAT/datasetdetail/process.xhtml?uuid=b9c775be-d100-4d35-bdf3-c5964e655692&amp;version=20.19.120" TargetMode="External"/><Relationship Id="rId89" Type="http://schemas.openxmlformats.org/officeDocument/2006/relationships/hyperlink" Target="https://www.oekobaudat.de/OEKOBAU.DAT/datasetdetail/process.xhtml?uuid=7ec1d463-fd99-4b1d-9a57-9a72cac408d2&amp;version=20.19.120" TargetMode="External"/><Relationship Id="rId112" Type="http://schemas.openxmlformats.org/officeDocument/2006/relationships/hyperlink" Target="https://www.oekobaudat.de/OEKOBAU.DAT/datasetdetail/process.xhtml?uuid=0973f221-2284-4892-ae3d-1b8c2986b6dd&amp;version=20.19.120" TargetMode="External"/><Relationship Id="rId133" Type="http://schemas.openxmlformats.org/officeDocument/2006/relationships/hyperlink" Target="https://www.oekobaudat.de/OEKOBAU.DAT/datasetdetail/process.xhtml?uuid=b9c775be-d100-4d35-bdf3-c5964e655692&amp;version=20.19.1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526D8-1D1C-416C-9612-33373156616D}">
  <sheetPr codeName="Ark1">
    <tabColor theme="4"/>
  </sheetPr>
  <dimension ref="B2:B69"/>
  <sheetViews>
    <sheetView zoomScaleNormal="100" workbookViewId="0">
      <selection activeCell="S75" sqref="S75"/>
    </sheetView>
  </sheetViews>
  <sheetFormatPr defaultColWidth="8.54296875" defaultRowHeight="14.5" x14ac:dyDescent="0.35"/>
  <cols>
    <col min="1" max="1" width="2.453125" style="244" customWidth="1"/>
    <col min="2" max="16384" width="8.54296875" style="244"/>
  </cols>
  <sheetData>
    <row r="2" spans="2:2" ht="33.5" hidden="1" x14ac:dyDescent="0.75">
      <c r="B2" s="243"/>
    </row>
    <row r="3" spans="2:2" ht="18.5" hidden="1" x14ac:dyDescent="0.45">
      <c r="B3" s="245"/>
    </row>
    <row r="4" spans="2:2" hidden="1" x14ac:dyDescent="0.35"/>
    <row r="5" spans="2:2" hidden="1" x14ac:dyDescent="0.35"/>
    <row r="6" spans="2:2" hidden="1" x14ac:dyDescent="0.35"/>
    <row r="7" spans="2:2" hidden="1" x14ac:dyDescent="0.35"/>
    <row r="8" spans="2:2" hidden="1" x14ac:dyDescent="0.35"/>
    <row r="9" spans="2:2" hidden="1" x14ac:dyDescent="0.35"/>
    <row r="10" spans="2:2" hidden="1" x14ac:dyDescent="0.35"/>
    <row r="11" spans="2:2" hidden="1" x14ac:dyDescent="0.35"/>
    <row r="12" spans="2:2" hidden="1" x14ac:dyDescent="0.35"/>
    <row r="13" spans="2:2" hidden="1" x14ac:dyDescent="0.35"/>
    <row r="14" spans="2:2" hidden="1" x14ac:dyDescent="0.35"/>
    <row r="15" spans="2:2" hidden="1" x14ac:dyDescent="0.35">
      <c r="B15" s="246"/>
    </row>
    <row r="16" spans="2:2" hidden="1" x14ac:dyDescent="0.35">
      <c r="B16" s="247"/>
    </row>
    <row r="17" hidden="1" x14ac:dyDescent="0.35"/>
    <row r="18" hidden="1" x14ac:dyDescent="0.35"/>
    <row r="19" hidden="1" x14ac:dyDescent="0.35"/>
    <row r="20" hidden="1" x14ac:dyDescent="0.35"/>
    <row r="21" hidden="1" x14ac:dyDescent="0.35"/>
    <row r="22" hidden="1" x14ac:dyDescent="0.35"/>
    <row r="23" hidden="1" x14ac:dyDescent="0.35"/>
    <row r="24" hidden="1" x14ac:dyDescent="0.35"/>
    <row r="25" hidden="1" x14ac:dyDescent="0.35"/>
    <row r="26" hidden="1" x14ac:dyDescent="0.35"/>
    <row r="27" hidden="1" x14ac:dyDescent="0.35"/>
    <row r="28" hidden="1" x14ac:dyDescent="0.35"/>
    <row r="29" hidden="1" x14ac:dyDescent="0.35"/>
    <row r="30" hidden="1" x14ac:dyDescent="0.35"/>
    <row r="31" hidden="1" x14ac:dyDescent="0.35"/>
    <row r="3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hidden="1" x14ac:dyDescent="0.35"/>
    <row r="66" hidden="1" x14ac:dyDescent="0.35"/>
    <row r="67" hidden="1" x14ac:dyDescent="0.35"/>
    <row r="68" hidden="1" x14ac:dyDescent="0.35"/>
    <row r="69" hidden="1" x14ac:dyDescent="0.35"/>
  </sheetData>
  <sheetProtection algorithmName="SHA-512" hashValue="2WIBdRrbWro2PJz4MTDiwG5H4M+t/bEEfJxqWv+pceQf84Voe92caa3V6q0OWIp8Vtf3aq6H3xDRQop/vKx64g==" saltValue="U9p0MtXBUPPpMK+9gTwV0w==" spinCount="100000" sheet="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74D-094B-4704-ACE7-D313DCF4F9B7}">
  <sheetPr codeName="Ark3">
    <tabColor theme="4"/>
    <pageSetUpPr autoPageBreaks="0" fitToPage="1"/>
  </sheetPr>
  <dimension ref="A1:HN913"/>
  <sheetViews>
    <sheetView tabSelected="1" topLeftCell="A12" zoomScale="70" zoomScaleNormal="70" workbookViewId="0">
      <selection activeCell="I21" sqref="I21"/>
    </sheetView>
  </sheetViews>
  <sheetFormatPr defaultColWidth="8.54296875" defaultRowHeight="14.5" outlineLevelRow="1" x14ac:dyDescent="0.35"/>
  <cols>
    <col min="1" max="1" width="8.54296875" style="173"/>
    <col min="2" max="2" width="37.453125" style="173" customWidth="1"/>
    <col min="3" max="3" width="13.1796875" style="173" customWidth="1"/>
    <col min="4" max="4" width="22.90625" style="173" bestFit="1" customWidth="1"/>
    <col min="5" max="5" width="20.7265625" style="173" customWidth="1"/>
    <col min="6" max="8" width="16.90625" style="173" customWidth="1"/>
    <col min="9" max="9" width="21.81640625" style="173" customWidth="1"/>
    <col min="10" max="10" width="20.7265625" style="173" customWidth="1"/>
    <col min="11" max="13" width="16.90625" style="173" customWidth="1"/>
    <col min="14" max="14" width="14.90625" style="173" customWidth="1"/>
    <col min="15" max="15" width="14.54296875" style="173" bestFit="1" customWidth="1"/>
    <col min="16" max="16" width="12.6328125" style="173" customWidth="1"/>
    <col min="17" max="17" width="14.54296875" style="173" bestFit="1" customWidth="1"/>
    <col min="18" max="19" width="21.26953125" style="173" customWidth="1"/>
    <col min="20" max="20" width="7.453125" style="174" customWidth="1"/>
    <col min="21" max="22" width="27.7265625" style="174" customWidth="1"/>
    <col min="23" max="23" width="44.7265625" style="215" customWidth="1"/>
    <col min="24" max="24" width="37.453125" style="251" customWidth="1"/>
    <col min="25" max="25" width="26.26953125" style="252" customWidth="1"/>
    <col min="26" max="26" width="33" style="252" customWidth="1"/>
    <col min="27" max="27" width="17.453125" style="252" customWidth="1"/>
    <col min="28" max="29" width="20.54296875" style="252" customWidth="1"/>
    <col min="30" max="30" width="19.54296875" style="252" customWidth="1"/>
    <col min="31" max="31" width="32.81640625" style="252" bestFit="1" customWidth="1"/>
    <col min="32" max="32" width="27.36328125" style="458" bestFit="1" customWidth="1"/>
    <col min="33" max="33" width="19.7265625" style="458" customWidth="1"/>
    <col min="34" max="34" width="30.08984375" style="252" customWidth="1"/>
    <col min="35" max="36" width="17.453125" style="252" customWidth="1"/>
    <col min="37" max="37" width="20.453125" style="252" customWidth="1"/>
    <col min="38" max="38" width="13.81640625" style="252" customWidth="1"/>
    <col min="39" max="39" width="15.81640625" style="252" customWidth="1"/>
    <col min="40" max="40" width="16.453125" style="331" customWidth="1"/>
    <col min="41" max="41" width="24.6328125" style="324" bestFit="1" customWidth="1"/>
    <col min="42" max="42" width="15.54296875" style="331" customWidth="1"/>
    <col min="43" max="43" width="24.6328125" style="331" bestFit="1" customWidth="1"/>
    <col min="44" max="44" width="13.81640625" style="331" customWidth="1"/>
    <col min="45" max="46" width="15.453125" style="331" customWidth="1"/>
    <col min="47" max="47" width="27.36328125" style="331" bestFit="1" customWidth="1"/>
    <col min="48" max="48" width="8.54296875" style="251"/>
    <col min="49" max="49" width="13.7265625" style="251" bestFit="1" customWidth="1"/>
    <col min="50" max="50" width="8.54296875" style="251" customWidth="1"/>
    <col min="51" max="51" width="8.54296875" style="251"/>
    <col min="52" max="52" width="8.6328125" style="251" bestFit="1" customWidth="1"/>
    <col min="53" max="53" width="8.54296875" style="251" customWidth="1"/>
    <col min="54" max="54" width="11" style="251" bestFit="1" customWidth="1"/>
    <col min="55" max="55" width="8.54296875" style="251" customWidth="1"/>
    <col min="56" max="56" width="8.6328125" style="251" bestFit="1" customWidth="1"/>
    <col min="57" max="57" width="12.1796875" style="251" customWidth="1"/>
    <col min="58" max="58" width="8.6328125" style="251" bestFit="1" customWidth="1"/>
    <col min="59" max="60" width="8.54296875" style="251"/>
    <col min="61" max="61" width="30.08984375" style="251" bestFit="1" customWidth="1"/>
    <col min="62" max="62" width="16.453125" style="251" bestFit="1" customWidth="1"/>
    <col min="63" max="63" width="9.453125" style="251" customWidth="1"/>
    <col min="64" max="64" width="14" style="251" customWidth="1"/>
    <col min="65" max="65" width="13.7265625" style="251" bestFit="1" customWidth="1"/>
    <col min="66" max="67" width="8.54296875" style="251"/>
    <col min="68" max="68" width="11" style="251" bestFit="1" customWidth="1"/>
    <col min="69" max="70" width="8.6328125" style="251" bestFit="1" customWidth="1"/>
    <col min="71" max="72" width="8.54296875" style="251"/>
    <col min="73" max="73" width="26" style="251" bestFit="1" customWidth="1"/>
    <col min="74" max="74" width="10.08984375" style="251" bestFit="1" customWidth="1"/>
    <col min="75" max="75" width="13.36328125" style="251" bestFit="1" customWidth="1"/>
    <col min="76" max="92" width="8.54296875" style="251"/>
    <col min="93" max="96" width="0" style="251" hidden="1" customWidth="1"/>
    <col min="97" max="222" width="8.54296875" style="251"/>
    <col min="223" max="229" width="8.54296875" style="173"/>
    <col min="230" max="230" width="8.54296875" style="173" customWidth="1"/>
    <col min="231" max="16384" width="8.54296875" style="173"/>
  </cols>
  <sheetData>
    <row r="1" spans="2:147" ht="14.9" hidden="1" customHeight="1" x14ac:dyDescent="0.35">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c r="CG1" s="323"/>
      <c r="CH1" s="323"/>
      <c r="CI1" s="323"/>
      <c r="CJ1" s="323"/>
      <c r="CK1" s="323"/>
      <c r="CL1" s="323"/>
      <c r="CM1" s="323"/>
      <c r="CN1" s="323"/>
      <c r="CO1" s="323"/>
      <c r="CP1" s="323"/>
      <c r="CQ1" s="323"/>
      <c r="CR1" s="323"/>
      <c r="CS1" s="323"/>
      <c r="CT1" s="323"/>
      <c r="CU1" s="323"/>
      <c r="CV1" s="323"/>
      <c r="CW1" s="323"/>
      <c r="CX1" s="323"/>
      <c r="CY1" s="323"/>
      <c r="CZ1" s="323"/>
    </row>
    <row r="2" spans="2:147" ht="14.9" hidden="1" customHeight="1" x14ac:dyDescent="0.35">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c r="CA2" s="323"/>
      <c r="CB2" s="323"/>
      <c r="CC2" s="323"/>
      <c r="CD2" s="323"/>
      <c r="CE2" s="323"/>
      <c r="CF2" s="323"/>
      <c r="CG2" s="323"/>
      <c r="CH2" s="323"/>
      <c r="CI2" s="323"/>
      <c r="CJ2" s="323"/>
      <c r="CK2" s="323"/>
      <c r="CL2" s="323"/>
      <c r="CM2" s="323"/>
      <c r="CN2" s="323"/>
      <c r="CO2" s="323"/>
      <c r="CP2" s="323"/>
      <c r="CQ2" s="323"/>
      <c r="CR2" s="323"/>
      <c r="CS2" s="323"/>
      <c r="CT2" s="323"/>
      <c r="CU2" s="323"/>
      <c r="CV2" s="323"/>
      <c r="CW2" s="323"/>
      <c r="CX2" s="323"/>
      <c r="CY2" s="323"/>
      <c r="CZ2" s="323"/>
    </row>
    <row r="3" spans="2:147" ht="65.150000000000006" hidden="1" customHeight="1" x14ac:dyDescent="0.35">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c r="BC3" s="323"/>
      <c r="BD3" s="323"/>
      <c r="BE3" s="323"/>
      <c r="BF3" s="323"/>
      <c r="BG3" s="323"/>
      <c r="BH3" s="323"/>
      <c r="BI3" s="323"/>
      <c r="BJ3" s="323"/>
      <c r="BK3" s="323"/>
      <c r="BL3" s="323"/>
      <c r="BM3" s="323"/>
      <c r="BN3" s="323"/>
      <c r="BO3" s="323"/>
      <c r="BP3" s="323"/>
      <c r="BQ3" s="323"/>
      <c r="BR3" s="323"/>
      <c r="BS3" s="323"/>
      <c r="BT3" s="323"/>
      <c r="BU3" s="323"/>
      <c r="BV3" s="323"/>
      <c r="BW3" s="323"/>
      <c r="BX3" s="323"/>
      <c r="BY3" s="323"/>
      <c r="BZ3" s="323"/>
      <c r="CA3" s="323"/>
      <c r="CB3" s="323"/>
      <c r="CC3" s="323"/>
      <c r="CD3" s="323"/>
      <c r="CE3" s="323"/>
      <c r="CF3" s="323"/>
      <c r="CG3" s="323"/>
      <c r="CH3" s="323"/>
      <c r="CI3" s="323"/>
      <c r="CJ3" s="323"/>
      <c r="CK3" s="323"/>
      <c r="CL3" s="323"/>
      <c r="CM3" s="323"/>
      <c r="CN3" s="323"/>
      <c r="CO3" s="323"/>
      <c r="CP3" s="323"/>
      <c r="CQ3" s="323"/>
      <c r="CR3" s="323"/>
      <c r="CS3" s="323"/>
      <c r="CT3" s="323"/>
      <c r="CU3" s="323"/>
      <c r="CV3" s="323"/>
      <c r="CW3" s="323"/>
      <c r="CX3" s="323"/>
      <c r="CY3" s="323"/>
      <c r="CZ3" s="323"/>
    </row>
    <row r="4" spans="2:147" ht="65.150000000000006" hidden="1" customHeight="1" x14ac:dyDescent="0.35">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323"/>
      <c r="CZ4" s="323"/>
    </row>
    <row r="5" spans="2:147" ht="17.149999999999999" customHeight="1" thickBot="1" x14ac:dyDescent="0.4">
      <c r="U5" s="251"/>
      <c r="V5" s="251"/>
      <c r="W5" s="323"/>
      <c r="X5" s="323"/>
      <c r="Y5" s="323"/>
      <c r="Z5" s="323"/>
      <c r="AA5" s="323"/>
      <c r="AB5" s="323"/>
      <c r="AC5" s="323"/>
      <c r="AD5" s="323"/>
      <c r="AE5" s="323"/>
      <c r="AF5" s="656"/>
      <c r="AG5" s="656"/>
      <c r="AH5" s="656"/>
      <c r="AI5" s="656"/>
      <c r="AJ5" s="656"/>
      <c r="AK5" s="656"/>
      <c r="AL5" s="656"/>
      <c r="AM5" s="323"/>
      <c r="AN5" s="323"/>
      <c r="AO5" s="323"/>
      <c r="AP5" s="323"/>
      <c r="AQ5" s="323"/>
      <c r="AR5" s="323"/>
      <c r="AS5" s="323"/>
      <c r="AT5" s="323"/>
      <c r="AU5" s="323"/>
      <c r="AV5" s="323"/>
      <c r="AW5" s="1071"/>
      <c r="AX5" s="1071"/>
      <c r="AY5" s="1071"/>
      <c r="AZ5" s="1071"/>
      <c r="BA5" s="1071"/>
      <c r="BB5" s="1071" t="s">
        <v>0</v>
      </c>
      <c r="BC5" s="1071"/>
      <c r="BD5" s="1071"/>
      <c r="BE5" s="1071"/>
      <c r="BF5" s="1071"/>
      <c r="BG5" s="1071"/>
      <c r="BH5" s="1071"/>
      <c r="BI5" s="1071"/>
      <c r="BJ5" s="1071"/>
      <c r="BK5" s="1071"/>
      <c r="BL5" s="1071"/>
      <c r="BM5" s="1071"/>
      <c r="BN5" s="1071"/>
      <c r="BO5" s="1071"/>
      <c r="BP5" s="1071"/>
      <c r="BQ5" s="1071"/>
      <c r="BR5" s="1071"/>
      <c r="BS5" s="1071"/>
      <c r="BT5" s="323"/>
      <c r="BU5" s="323"/>
      <c r="BV5" s="323"/>
      <c r="BW5" s="323"/>
      <c r="BX5" s="323"/>
      <c r="BY5" s="323"/>
      <c r="BZ5" s="323"/>
      <c r="CA5" s="323"/>
      <c r="CB5" s="323"/>
      <c r="CC5" s="323"/>
      <c r="CD5" s="323"/>
      <c r="CE5" s="323"/>
      <c r="CF5" s="323"/>
      <c r="CG5" s="323"/>
      <c r="CH5" s="323"/>
      <c r="CI5" s="323"/>
      <c r="CJ5" s="323"/>
      <c r="CK5" s="323"/>
      <c r="CL5" s="323"/>
      <c r="CM5" s="323"/>
      <c r="CN5" s="323"/>
      <c r="CO5" s="323"/>
      <c r="CP5" s="323"/>
      <c r="CQ5" s="323"/>
      <c r="CR5" s="323"/>
      <c r="CS5" s="323"/>
      <c r="CT5" s="323"/>
      <c r="CU5" s="323"/>
      <c r="CV5" s="323"/>
      <c r="CW5" s="323"/>
      <c r="CX5" s="323"/>
      <c r="CY5" s="323"/>
      <c r="CZ5" s="323"/>
    </row>
    <row r="6" spans="2:147" ht="12" customHeight="1" x14ac:dyDescent="0.75">
      <c r="B6" s="999"/>
      <c r="C6" s="1000"/>
      <c r="D6" s="1000"/>
      <c r="E6" s="1000"/>
      <c r="F6" s="1000"/>
      <c r="G6" s="1000"/>
      <c r="H6" s="481"/>
      <c r="I6" s="481"/>
      <c r="J6" s="483"/>
      <c r="K6" s="481"/>
      <c r="L6" s="481"/>
      <c r="M6" s="481"/>
      <c r="N6" s="481"/>
      <c r="O6" s="481"/>
      <c r="P6" s="481"/>
      <c r="Q6" s="481"/>
      <c r="R6" s="481"/>
      <c r="S6" s="482"/>
      <c r="V6" s="1147"/>
      <c r="W6" s="1148"/>
      <c r="X6" s="1148"/>
      <c r="Y6" s="1148"/>
      <c r="Z6" s="1148"/>
      <c r="AA6" s="1148"/>
      <c r="AB6" s="1148"/>
      <c r="AC6" s="1148"/>
      <c r="AD6" s="1148"/>
      <c r="AE6" s="323"/>
      <c r="AF6" s="656"/>
      <c r="AG6" s="656"/>
      <c r="AH6" s="656"/>
      <c r="AI6" s="656"/>
      <c r="AJ6" s="656"/>
      <c r="AK6" s="656"/>
      <c r="AL6" s="656"/>
      <c r="AM6" s="323"/>
      <c r="AN6" s="323"/>
      <c r="AO6" s="323"/>
      <c r="AP6" s="323"/>
      <c r="AQ6" s="323"/>
      <c r="AR6" s="323"/>
      <c r="AS6" s="323"/>
      <c r="AT6" s="323"/>
      <c r="AU6" s="323"/>
      <c r="AV6" s="323"/>
      <c r="AW6" s="1071"/>
      <c r="AX6" s="1071"/>
      <c r="AY6" s="1071"/>
      <c r="AZ6" s="1071" t="s">
        <v>2</v>
      </c>
      <c r="BA6" s="1071"/>
      <c r="BB6" s="1071" t="s">
        <v>3</v>
      </c>
      <c r="BC6" s="1071"/>
      <c r="BD6" s="1071"/>
      <c r="BE6" s="1071"/>
      <c r="BF6" s="1071"/>
      <c r="BG6" s="1071"/>
      <c r="BH6" s="1071"/>
      <c r="BI6" s="1071" t="s">
        <v>4</v>
      </c>
      <c r="BJ6" s="1071"/>
      <c r="BK6" s="1071"/>
      <c r="BL6" s="1071" t="s">
        <v>5</v>
      </c>
      <c r="BM6" s="1071"/>
      <c r="BN6" s="1071"/>
      <c r="BO6" s="1071"/>
      <c r="BP6" s="1071"/>
      <c r="BQ6" s="1071"/>
      <c r="BR6" s="1071"/>
      <c r="BS6" s="1071"/>
      <c r="BT6" s="323"/>
      <c r="BU6" s="323"/>
      <c r="BV6" s="323"/>
      <c r="BW6" s="323"/>
      <c r="BX6" s="323"/>
      <c r="BY6" s="323"/>
      <c r="BZ6" s="323"/>
      <c r="CA6" s="323"/>
      <c r="CB6" s="323"/>
      <c r="CC6" s="323"/>
      <c r="CD6" s="323"/>
      <c r="CE6" s="323"/>
      <c r="CF6" s="323"/>
      <c r="CG6" s="323"/>
      <c r="CH6" s="323"/>
      <c r="CI6" s="323"/>
      <c r="CJ6" s="323"/>
      <c r="CK6" s="323"/>
      <c r="CL6" s="323"/>
      <c r="CM6" s="323"/>
      <c r="CN6" s="323"/>
      <c r="CO6" s="323"/>
      <c r="CP6" s="323"/>
      <c r="CQ6" s="323"/>
      <c r="CR6" s="323"/>
      <c r="CS6" s="323"/>
      <c r="CT6" s="323"/>
      <c r="CU6" s="323"/>
      <c r="CV6" s="323"/>
      <c r="CW6" s="323"/>
      <c r="CX6" s="323"/>
      <c r="CY6" s="323"/>
      <c r="CZ6" s="323"/>
    </row>
    <row r="7" spans="2:147" ht="39.5" customHeight="1" thickBot="1" x14ac:dyDescent="0.4">
      <c r="B7" s="1005" t="s">
        <v>1</v>
      </c>
      <c r="C7" s="1006"/>
      <c r="D7" s="1006"/>
      <c r="E7" s="1006"/>
      <c r="F7" s="1006"/>
      <c r="G7" s="1006"/>
      <c r="H7" s="486"/>
      <c r="I7" s="486"/>
      <c r="J7" s="486"/>
      <c r="K7" s="486"/>
      <c r="L7" s="486"/>
      <c r="M7" s="486"/>
      <c r="N7" s="486"/>
      <c r="O7" s="486"/>
      <c r="P7" s="486"/>
      <c r="Q7" s="486"/>
      <c r="R7" s="486"/>
      <c r="S7" s="485"/>
      <c r="V7" s="1147"/>
      <c r="W7" s="1148"/>
      <c r="X7" s="1147"/>
      <c r="Y7" s="1149">
        <f>L517</f>
        <v>0</v>
      </c>
      <c r="Z7" s="1148"/>
      <c r="AA7" s="1148"/>
      <c r="AB7" s="1148" t="s">
        <v>30</v>
      </c>
      <c r="AC7" s="1148"/>
      <c r="AD7" s="1148"/>
      <c r="AE7" s="323"/>
      <c r="AF7" s="323"/>
      <c r="AG7" s="323"/>
      <c r="AH7" s="323">
        <f>VLOOKUP(X11,Bygningstype[],2,0)</f>
        <v>10</v>
      </c>
      <c r="AI7" s="323"/>
      <c r="AJ7" s="323"/>
      <c r="AK7" s="323"/>
      <c r="AL7" s="323"/>
      <c r="AM7" s="323"/>
      <c r="AN7" s="323"/>
      <c r="AO7" s="323"/>
      <c r="AP7" s="323"/>
      <c r="AQ7" s="323"/>
      <c r="AR7" s="323"/>
      <c r="AS7" s="323"/>
      <c r="AT7" s="323"/>
      <c r="AU7" s="323"/>
      <c r="AV7" s="323"/>
      <c r="AW7" s="323"/>
      <c r="AX7" s="323"/>
      <c r="AY7" s="323"/>
      <c r="AZ7" s="323">
        <f>5</f>
        <v>5</v>
      </c>
      <c r="BA7" s="323"/>
      <c r="BB7" s="323" t="s">
        <v>6</v>
      </c>
      <c r="BC7" s="323"/>
      <c r="BD7" s="323"/>
      <c r="BE7" s="323"/>
      <c r="BF7" s="323"/>
      <c r="BG7" s="323"/>
      <c r="BH7" s="323"/>
      <c r="BI7" s="323" t="s">
        <v>7</v>
      </c>
      <c r="BJ7" s="323" t="s">
        <v>8</v>
      </c>
      <c r="BK7" s="323"/>
      <c r="BL7" s="323" t="s">
        <v>7</v>
      </c>
      <c r="BM7" s="323" t="s">
        <v>8</v>
      </c>
      <c r="BN7" s="323"/>
      <c r="BO7" s="323"/>
      <c r="BP7" s="323"/>
      <c r="BQ7" s="323"/>
      <c r="BR7" s="323"/>
      <c r="BS7" s="323"/>
      <c r="BT7" s="323"/>
      <c r="BU7" s="323"/>
      <c r="BV7" s="323"/>
      <c r="BW7" s="323"/>
      <c r="BX7" s="323"/>
      <c r="BY7" s="323"/>
      <c r="BZ7" s="323"/>
      <c r="CA7" s="323"/>
      <c r="CB7" s="323"/>
      <c r="CC7" s="323"/>
      <c r="CD7" s="323"/>
      <c r="CE7" s="323"/>
      <c r="CF7" s="323"/>
      <c r="CG7" s="323"/>
      <c r="CH7" s="323"/>
      <c r="CI7" s="323"/>
      <c r="CJ7" s="323"/>
      <c r="CK7" s="323"/>
      <c r="CL7" s="323"/>
      <c r="CM7" s="323"/>
      <c r="CN7" s="323"/>
      <c r="CO7" s="323"/>
      <c r="CP7" s="323"/>
      <c r="CQ7" s="323"/>
      <c r="CR7" s="323"/>
      <c r="CS7" s="323"/>
      <c r="CT7" s="323"/>
      <c r="CU7" s="323"/>
      <c r="CV7" s="323"/>
      <c r="CW7" s="323"/>
      <c r="CX7" s="323"/>
      <c r="CY7" s="323"/>
      <c r="CZ7" s="323"/>
    </row>
    <row r="8" spans="2:147" x14ac:dyDescent="0.35">
      <c r="B8" s="311"/>
      <c r="C8" s="312"/>
      <c r="D8" s="312"/>
      <c r="E8" s="312"/>
      <c r="F8" s="312"/>
      <c r="G8" s="312"/>
      <c r="H8" s="312"/>
      <c r="I8" s="312"/>
      <c r="J8" s="312"/>
      <c r="K8" s="312"/>
      <c r="L8" s="312"/>
      <c r="M8" s="312"/>
      <c r="N8" s="312"/>
      <c r="O8" s="312"/>
      <c r="P8" s="312"/>
      <c r="Q8" s="312"/>
      <c r="R8" s="312"/>
      <c r="S8" s="313"/>
      <c r="V8" s="1147"/>
      <c r="W8" s="1148"/>
      <c r="X8" s="1147"/>
      <c r="Y8" s="1148"/>
      <c r="Z8" s="1150"/>
      <c r="AA8" s="1148"/>
      <c r="AB8" s="1148"/>
      <c r="AC8" s="1148"/>
      <c r="AD8" s="1148"/>
      <c r="AE8" s="323"/>
      <c r="AF8" s="323"/>
      <c r="AG8" s="323"/>
      <c r="AH8" s="323">
        <f>VLOOKUP(X11,Bygningstype[],3,0)</f>
        <v>3</v>
      </c>
      <c r="AI8" s="323"/>
      <c r="AJ8" s="323"/>
      <c r="AK8" s="323"/>
      <c r="AL8" s="323"/>
      <c r="AM8" s="323"/>
      <c r="AN8" s="323"/>
      <c r="AO8" s="323"/>
      <c r="AP8" s="323"/>
      <c r="AQ8" s="323"/>
      <c r="AR8" s="323"/>
      <c r="AS8" s="323"/>
      <c r="AT8" s="323"/>
      <c r="AU8" s="323"/>
      <c r="AV8" s="323"/>
      <c r="AW8" s="323"/>
      <c r="AX8" s="323"/>
      <c r="AY8" s="323"/>
      <c r="AZ8" s="323"/>
      <c r="BA8" s="323"/>
      <c r="BB8" s="323">
        <v>0</v>
      </c>
      <c r="BC8" s="323"/>
      <c r="BD8" s="323"/>
      <c r="BE8" s="323"/>
      <c r="BF8" s="323"/>
      <c r="BG8" s="323"/>
      <c r="BH8" s="323"/>
      <c r="BI8" s="323">
        <f>BI19</f>
        <v>183.97114802135965</v>
      </c>
      <c r="BJ8" s="323">
        <f>(AB20+AB21)*J21/1000</f>
        <v>1.2574981646168402</v>
      </c>
      <c r="BK8" s="323"/>
      <c r="BL8" s="323">
        <f>BL19</f>
        <v>83.796895537264248</v>
      </c>
      <c r="BM8" s="323">
        <f>(AB12+AB14)*J21/1000</f>
        <v>1.2574981646168402</v>
      </c>
      <c r="BN8" s="323"/>
      <c r="BO8" s="323"/>
      <c r="BP8" s="323"/>
      <c r="BQ8" s="323"/>
      <c r="BR8" s="323"/>
      <c r="BS8" s="323"/>
      <c r="BT8" s="323"/>
      <c r="BU8" s="323"/>
      <c r="BV8" s="323"/>
      <c r="BW8" s="323"/>
      <c r="BX8" s="323"/>
      <c r="BY8" s="323"/>
      <c r="BZ8" s="323"/>
      <c r="CA8" s="323"/>
      <c r="CB8" s="323"/>
      <c r="CC8" s="323"/>
      <c r="CD8" s="323"/>
      <c r="CE8" s="323"/>
      <c r="CF8" s="323"/>
      <c r="CG8" s="323"/>
      <c r="CH8" s="323"/>
      <c r="CI8" s="323"/>
      <c r="CJ8" s="323"/>
      <c r="CK8" s="323"/>
      <c r="CL8" s="323"/>
      <c r="CM8" s="323"/>
      <c r="CN8" s="323"/>
      <c r="CO8" s="323"/>
      <c r="CP8" s="323"/>
      <c r="CQ8" s="323"/>
      <c r="CR8" s="323"/>
      <c r="CS8" s="323"/>
      <c r="CT8" s="323"/>
      <c r="CU8" s="323"/>
      <c r="CV8" s="323"/>
      <c r="CW8" s="323"/>
      <c r="CX8" s="323"/>
      <c r="CY8" s="323"/>
      <c r="CZ8" s="323"/>
    </row>
    <row r="9" spans="2:147" x14ac:dyDescent="0.35">
      <c r="B9" s="314"/>
      <c r="C9" s="315"/>
      <c r="D9" s="315"/>
      <c r="E9" s="315"/>
      <c r="F9" s="315"/>
      <c r="G9" s="315"/>
      <c r="H9" s="315"/>
      <c r="I9" s="315"/>
      <c r="J9" s="315"/>
      <c r="K9" s="315"/>
      <c r="L9" s="315"/>
      <c r="M9" s="315"/>
      <c r="N9" s="315"/>
      <c r="O9" s="315"/>
      <c r="P9" s="315"/>
      <c r="Q9" s="315"/>
      <c r="R9" s="315"/>
      <c r="S9" s="316"/>
      <c r="V9" s="1147"/>
      <c r="W9" s="1148"/>
      <c r="X9" s="1147"/>
      <c r="Y9" s="1148" t="s">
        <v>5</v>
      </c>
      <c r="Z9" s="1150"/>
      <c r="AA9" s="1148"/>
      <c r="AB9" s="1148"/>
      <c r="AC9" s="1148"/>
      <c r="AD9" s="1148"/>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f>BB8+$AZ$7</f>
        <v>5</v>
      </c>
      <c r="BC9" s="323"/>
      <c r="BD9" s="323"/>
      <c r="BE9" s="323"/>
      <c r="BF9" s="323"/>
      <c r="BG9" s="323"/>
      <c r="BH9" s="323"/>
      <c r="BI9" s="323"/>
      <c r="BJ9" s="323">
        <f>$BJ$8*BB9</f>
        <v>6.2874908230842008</v>
      </c>
      <c r="BK9" s="323"/>
      <c r="BL9" s="323"/>
      <c r="BM9" s="323">
        <f>$BM$8*BB9</f>
        <v>6.2874908230842008</v>
      </c>
      <c r="BN9" s="323"/>
      <c r="BO9" s="323"/>
      <c r="BP9" s="323"/>
      <c r="BQ9" s="323"/>
      <c r="BR9" s="323"/>
      <c r="BS9" s="323"/>
      <c r="BT9" s="323"/>
      <c r="BU9" s="323"/>
      <c r="BV9" s="323"/>
      <c r="BW9" s="323"/>
      <c r="BX9" s="323"/>
      <c r="BY9" s="323"/>
      <c r="BZ9" s="323"/>
      <c r="CA9" s="323"/>
      <c r="CB9" s="323"/>
      <c r="CC9" s="323"/>
      <c r="CD9" s="323"/>
      <c r="CE9" s="323"/>
      <c r="CF9" s="323"/>
      <c r="CG9" s="323"/>
      <c r="CH9" s="323"/>
      <c r="CI9" s="323"/>
      <c r="CJ9" s="323"/>
      <c r="CK9" s="323"/>
      <c r="CL9" s="323"/>
      <c r="CM9" s="323"/>
      <c r="CN9" s="323"/>
      <c r="CO9" s="323"/>
      <c r="CP9" s="323"/>
      <c r="CQ9" s="323"/>
      <c r="CR9" s="323"/>
      <c r="CS9" s="323"/>
      <c r="CT9" s="323"/>
      <c r="CU9" s="323"/>
      <c r="CV9" s="323"/>
      <c r="CW9" s="323"/>
      <c r="CX9" s="323"/>
      <c r="CY9" s="323"/>
      <c r="CZ9" s="323"/>
    </row>
    <row r="10" spans="2:147" x14ac:dyDescent="0.35">
      <c r="B10" s="314"/>
      <c r="C10" s="315"/>
      <c r="D10" s="315"/>
      <c r="E10" s="315"/>
      <c r="F10" s="315"/>
      <c r="G10" s="315"/>
      <c r="H10" s="315"/>
      <c r="I10" s="315"/>
      <c r="J10" s="315"/>
      <c r="K10" s="315"/>
      <c r="L10" s="315"/>
      <c r="M10" s="315"/>
      <c r="N10" s="315"/>
      <c r="O10" s="315"/>
      <c r="P10" s="315"/>
      <c r="Q10" s="315"/>
      <c r="R10" s="315"/>
      <c r="S10" s="316"/>
      <c r="V10" s="1147"/>
      <c r="W10" s="1148"/>
      <c r="X10" s="1147"/>
      <c r="Y10" s="1148"/>
      <c r="Z10" s="1150"/>
      <c r="AA10" s="1148"/>
      <c r="AB10" s="1150"/>
      <c r="AC10" s="1150"/>
      <c r="AD10" s="1150"/>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f>BB9+$AZ$7</f>
        <v>10</v>
      </c>
      <c r="BC10" s="323"/>
      <c r="BD10" s="323"/>
      <c r="BE10" s="323"/>
      <c r="BF10" s="323"/>
      <c r="BG10" s="323"/>
      <c r="BH10" s="323"/>
      <c r="BI10" s="323"/>
      <c r="BJ10" s="323">
        <f>$BJ$8*BB10</f>
        <v>12.574981646168402</v>
      </c>
      <c r="BK10" s="323"/>
      <c r="BL10" s="323"/>
      <c r="BM10" s="323">
        <f t="shared" ref="BM10:BM16" si="0">$BM$8*BB10</f>
        <v>12.574981646168402</v>
      </c>
      <c r="BN10" s="323"/>
      <c r="BO10" s="323"/>
      <c r="BP10" s="323"/>
      <c r="BQ10" s="323"/>
      <c r="BR10" s="323"/>
      <c r="BS10" s="323"/>
      <c r="BT10" s="323"/>
      <c r="BU10" s="323"/>
      <c r="BV10" s="323"/>
      <c r="BW10" s="323"/>
      <c r="BX10" s="323"/>
      <c r="BY10" s="323"/>
      <c r="BZ10" s="323"/>
      <c r="CA10" s="323"/>
      <c r="CB10" s="323"/>
      <c r="CC10" s="323"/>
      <c r="CD10" s="323"/>
      <c r="CE10" s="323"/>
      <c r="CF10" s="323"/>
      <c r="CG10" s="323"/>
      <c r="CH10" s="323"/>
      <c r="CI10" s="323"/>
      <c r="CJ10" s="323"/>
      <c r="CK10" s="323"/>
      <c r="CL10" s="323"/>
      <c r="CM10" s="323"/>
      <c r="CN10" s="323"/>
      <c r="CO10" s="323"/>
      <c r="CP10" s="323"/>
      <c r="CQ10" s="323"/>
      <c r="CR10" s="323"/>
      <c r="CS10" s="323"/>
      <c r="CT10" s="323"/>
      <c r="CU10" s="323"/>
      <c r="CV10" s="323"/>
      <c r="CW10" s="323"/>
      <c r="CX10" s="323"/>
      <c r="CY10" s="323"/>
      <c r="CZ10" s="323"/>
    </row>
    <row r="11" spans="2:147" x14ac:dyDescent="0.35">
      <c r="B11" s="314"/>
      <c r="C11" s="315"/>
      <c r="D11" s="315"/>
      <c r="E11" s="315"/>
      <c r="F11" s="315"/>
      <c r="G11" s="315"/>
      <c r="H11" s="315"/>
      <c r="I11" s="315"/>
      <c r="J11" s="315"/>
      <c r="K11" s="315"/>
      <c r="L11" s="315"/>
      <c r="M11" s="315"/>
      <c r="N11" s="315"/>
      <c r="O11" s="315"/>
      <c r="P11" s="315"/>
      <c r="Q11" s="315"/>
      <c r="R11" s="315"/>
      <c r="S11" s="316"/>
      <c r="V11" s="1147"/>
      <c r="W11" s="1148"/>
      <c r="X11" s="1146" t="str">
        <f>VLOOKUP(H21,Klimakravene[],2,0)</f>
        <v>Bolig</v>
      </c>
      <c r="Y11" s="1148" t="s">
        <v>17</v>
      </c>
      <c r="Z11" s="1150"/>
      <c r="AA11" s="1148"/>
      <c r="AB11" s="1148" t="s">
        <v>18</v>
      </c>
      <c r="AC11" s="1148"/>
      <c r="AD11" s="1148" t="s">
        <v>19</v>
      </c>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f>BB10+$AZ$7</f>
        <v>15</v>
      </c>
      <c r="BC11" s="323"/>
      <c r="BD11" s="323"/>
      <c r="BE11" s="323"/>
      <c r="BF11" s="323"/>
      <c r="BG11" s="323"/>
      <c r="BH11" s="323"/>
      <c r="BI11" s="323"/>
      <c r="BJ11" s="323">
        <f>$BJ$8*BB11</f>
        <v>18.862472469252602</v>
      </c>
      <c r="BK11" s="323"/>
      <c r="BL11" s="323"/>
      <c r="BM11" s="323">
        <f t="shared" si="0"/>
        <v>18.862472469252602</v>
      </c>
      <c r="BN11" s="323"/>
      <c r="BO11" s="323"/>
      <c r="BP11" s="323"/>
      <c r="BQ11" s="323"/>
      <c r="BR11" s="323"/>
      <c r="BS11" s="323"/>
      <c r="BT11" s="323"/>
      <c r="BU11" s="323"/>
      <c r="BV11" s="323"/>
      <c r="BW11" s="323"/>
      <c r="BX11" s="323"/>
      <c r="BY11" s="323"/>
      <c r="BZ11" s="323"/>
      <c r="CA11" s="323"/>
      <c r="CB11" s="323"/>
      <c r="CC11" s="323"/>
      <c r="CD11" s="323"/>
      <c r="CE11" s="323"/>
      <c r="CF11" s="323"/>
      <c r="CG11" s="323"/>
      <c r="CH11" s="323"/>
      <c r="CI11" s="323"/>
      <c r="CJ11" s="323"/>
      <c r="CK11" s="323"/>
      <c r="CL11" s="323"/>
      <c r="CM11" s="323"/>
      <c r="CN11" s="323"/>
      <c r="CO11" s="323"/>
      <c r="CP11" s="323"/>
      <c r="CQ11" s="323"/>
      <c r="CR11" s="323"/>
      <c r="CS11" s="323"/>
      <c r="CT11" s="323"/>
      <c r="CU11" s="323"/>
      <c r="CV11" s="323"/>
      <c r="CW11" s="323"/>
      <c r="CX11" s="323"/>
      <c r="CY11" s="323"/>
      <c r="CZ11" s="323"/>
    </row>
    <row r="12" spans="2:147" ht="17.25" customHeight="1" x14ac:dyDescent="0.35">
      <c r="B12" s="314"/>
      <c r="C12" s="315"/>
      <c r="D12" s="315"/>
      <c r="E12" s="315"/>
      <c r="F12" s="315"/>
      <c r="G12" s="315"/>
      <c r="H12" s="315"/>
      <c r="I12" s="315"/>
      <c r="J12" s="315"/>
      <c r="K12" s="315"/>
      <c r="L12" s="315"/>
      <c r="M12" s="315"/>
      <c r="N12" s="315"/>
      <c r="O12" s="315"/>
      <c r="P12" s="315"/>
      <c r="Q12" s="315"/>
      <c r="R12" s="315"/>
      <c r="S12" s="316"/>
      <c r="V12" s="1147"/>
      <c r="W12" s="1148"/>
      <c r="X12" s="1147"/>
      <c r="Y12" s="1151">
        <f>IF($O$21=Dropdown!$R$19,Antagelser!F366,Q21)</f>
        <v>35.269157994323557</v>
      </c>
      <c r="Z12" s="1152">
        <f>$Y$12</f>
        <v>35.269157994323557</v>
      </c>
      <c r="AA12" s="1148"/>
      <c r="AB12" s="1148">
        <f>VLOOKUP(M21,Antagelser!B21:C24,2,FALSE)*Scenarier!Z12</f>
        <v>2.6169715231788078</v>
      </c>
      <c r="AC12" s="1148"/>
      <c r="AD12" s="1148">
        <f>AB12*Y24*J21</f>
        <v>52339.430463576151</v>
      </c>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f t="shared" ref="BB12:BB18" si="1">BB11+$AZ$7</f>
        <v>20</v>
      </c>
      <c r="BC12" s="323"/>
      <c r="BD12" s="323"/>
      <c r="BE12" s="323"/>
      <c r="BF12" s="323"/>
      <c r="BG12" s="323"/>
      <c r="BH12" s="323"/>
      <c r="BI12" s="323"/>
      <c r="BJ12" s="323">
        <f t="shared" ref="BJ12:BJ17" si="2">$BJ$8*BB12</f>
        <v>25.149963292336803</v>
      </c>
      <c r="BK12" s="323"/>
      <c r="BL12" s="323"/>
      <c r="BM12" s="323">
        <f t="shared" si="0"/>
        <v>25.149963292336803</v>
      </c>
      <c r="BN12" s="323"/>
      <c r="BO12" s="323"/>
      <c r="BP12" s="323"/>
      <c r="BQ12" s="323"/>
      <c r="BR12" s="323"/>
      <c r="BS12" s="323"/>
      <c r="BT12" s="323"/>
      <c r="BU12" s="323"/>
      <c r="BV12" s="323"/>
      <c r="BW12" s="323"/>
      <c r="BX12" s="323"/>
      <c r="BY12" s="323"/>
      <c r="BZ12" s="323"/>
      <c r="CA12" s="323"/>
      <c r="CB12" s="323"/>
      <c r="CC12" s="323"/>
      <c r="CD12" s="323"/>
      <c r="CE12" s="323"/>
      <c r="CF12" s="323"/>
      <c r="CG12" s="323"/>
      <c r="CH12" s="323"/>
      <c r="CI12" s="323"/>
      <c r="CJ12" s="323"/>
      <c r="CK12" s="323"/>
      <c r="CL12" s="323"/>
      <c r="CM12" s="323"/>
      <c r="CN12" s="323"/>
      <c r="CO12" s="323"/>
      <c r="CP12" s="323"/>
      <c r="CQ12" s="323"/>
      <c r="CR12" s="323"/>
      <c r="CS12" s="323"/>
      <c r="CT12" s="323"/>
      <c r="CU12" s="323"/>
      <c r="CV12" s="323"/>
      <c r="CW12" s="323"/>
      <c r="CX12" s="323"/>
      <c r="CY12" s="323"/>
      <c r="CZ12" s="323"/>
      <c r="EK12" s="1070"/>
      <c r="EL12" s="1070"/>
      <c r="EM12" s="1070"/>
      <c r="EN12" s="1070"/>
      <c r="EO12" s="1070"/>
      <c r="EP12" s="1070"/>
      <c r="EQ12" s="1070"/>
    </row>
    <row r="13" spans="2:147" ht="17.25" customHeight="1" x14ac:dyDescent="0.35">
      <c r="B13" s="314"/>
      <c r="C13" s="315"/>
      <c r="D13" s="315"/>
      <c r="E13" s="315"/>
      <c r="F13" s="315"/>
      <c r="G13" s="315"/>
      <c r="H13" s="315"/>
      <c r="I13" s="315"/>
      <c r="J13" s="315"/>
      <c r="K13" s="315"/>
      <c r="L13" s="315"/>
      <c r="M13" s="315"/>
      <c r="N13" s="315"/>
      <c r="O13" s="315"/>
      <c r="P13" s="315"/>
      <c r="Q13" s="315"/>
      <c r="R13" s="315"/>
      <c r="S13" s="316"/>
      <c r="V13" s="1147"/>
      <c r="W13" s="1148"/>
      <c r="X13" s="1147"/>
      <c r="Y13" s="1151"/>
      <c r="Z13" s="1148"/>
      <c r="AA13" s="1148"/>
      <c r="AB13" s="1148"/>
      <c r="AC13" s="1148"/>
      <c r="AD13" s="1148"/>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f t="shared" si="1"/>
        <v>25</v>
      </c>
      <c r="BC13" s="323"/>
      <c r="BD13" s="323"/>
      <c r="BE13" s="323"/>
      <c r="BF13" s="323"/>
      <c r="BG13" s="323"/>
      <c r="BH13" s="323"/>
      <c r="BI13" s="323"/>
      <c r="BJ13" s="323">
        <f t="shared" si="2"/>
        <v>31.437454115421005</v>
      </c>
      <c r="BK13" s="323"/>
      <c r="BL13" s="323"/>
      <c r="BM13" s="323">
        <f t="shared" si="0"/>
        <v>31.437454115421005</v>
      </c>
      <c r="BN13" s="323"/>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c r="CL13" s="323"/>
      <c r="CM13" s="323"/>
      <c r="CN13" s="323"/>
      <c r="CO13" s="323"/>
      <c r="CP13" s="323"/>
      <c r="CQ13" s="323"/>
      <c r="CR13" s="323"/>
      <c r="CS13" s="323"/>
      <c r="CT13" s="323"/>
      <c r="CU13" s="323"/>
      <c r="CV13" s="323"/>
      <c r="CW13" s="323"/>
      <c r="CX13" s="323"/>
      <c r="CY13" s="323"/>
      <c r="CZ13" s="323"/>
      <c r="EK13" s="1070"/>
      <c r="EL13" s="1070"/>
      <c r="EM13" s="1070"/>
      <c r="EN13" s="1070"/>
      <c r="EO13" s="1070"/>
      <c r="EP13" s="1070"/>
      <c r="EQ13" s="1070"/>
    </row>
    <row r="14" spans="2:147" ht="17.25" customHeight="1" x14ac:dyDescent="0.35">
      <c r="B14" s="317"/>
      <c r="C14" s="318"/>
      <c r="D14" s="318"/>
      <c r="E14" s="318"/>
      <c r="F14" s="318"/>
      <c r="G14" s="318"/>
      <c r="H14" s="318"/>
      <c r="I14" s="318"/>
      <c r="J14" s="318"/>
      <c r="K14" s="318"/>
      <c r="L14" s="318"/>
      <c r="M14" s="318"/>
      <c r="N14" s="318"/>
      <c r="O14" s="318"/>
      <c r="P14" s="318"/>
      <c r="Q14" s="318"/>
      <c r="R14" s="318"/>
      <c r="S14" s="319"/>
      <c r="V14" s="1147"/>
      <c r="W14" s="1148"/>
      <c r="X14" s="1147"/>
      <c r="Y14" s="1151">
        <f>IF($O$21=Dropdown!$R$19,Antagelser!G366,S21)</f>
        <v>8.2308420056764433</v>
      </c>
      <c r="Z14" s="1148">
        <f>IF(Y14-Y7&lt;0,0,Y14-Y7)</f>
        <v>8.2308420056764433</v>
      </c>
      <c r="AA14" s="1148"/>
      <c r="AB14" s="1148">
        <f>Z14*Antagelser!C24</f>
        <v>0.52677388836329242</v>
      </c>
      <c r="AC14" s="1150"/>
      <c r="AD14" s="1150">
        <f>AB14*Y24*J21</f>
        <v>10535.477767265849</v>
      </c>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f t="shared" si="1"/>
        <v>30</v>
      </c>
      <c r="BC14" s="323"/>
      <c r="BD14" s="323"/>
      <c r="BE14" s="323"/>
      <c r="BF14" s="323"/>
      <c r="BG14" s="323"/>
      <c r="BH14" s="323"/>
      <c r="BI14" s="323"/>
      <c r="BJ14" s="323">
        <f t="shared" si="2"/>
        <v>37.724944938505203</v>
      </c>
      <c r="BK14" s="323"/>
      <c r="BL14" s="323"/>
      <c r="BM14" s="323">
        <f t="shared" si="0"/>
        <v>37.724944938505203</v>
      </c>
      <c r="BN14" s="32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c r="CL14" s="323"/>
      <c r="CM14" s="323"/>
      <c r="CN14" s="323"/>
      <c r="CO14" s="323"/>
      <c r="CP14" s="323"/>
      <c r="CQ14" s="323"/>
      <c r="CR14" s="323"/>
      <c r="CS14" s="323"/>
      <c r="CT14" s="323"/>
      <c r="CU14" s="323"/>
      <c r="CV14" s="323"/>
      <c r="CW14" s="323"/>
      <c r="CX14" s="323"/>
      <c r="CY14" s="323"/>
      <c r="CZ14" s="323"/>
      <c r="EK14" s="1070"/>
      <c r="EL14" s="1070"/>
      <c r="EM14" s="1070"/>
      <c r="EN14" s="1070"/>
      <c r="EO14" s="1070"/>
      <c r="EP14" s="1070"/>
      <c r="EQ14" s="1070"/>
    </row>
    <row r="15" spans="2:147" ht="17.25" customHeight="1" x14ac:dyDescent="0.35">
      <c r="B15" s="317"/>
      <c r="C15" s="318"/>
      <c r="D15" s="318"/>
      <c r="E15" s="318"/>
      <c r="F15" s="318"/>
      <c r="G15" s="318"/>
      <c r="H15" s="318"/>
      <c r="I15" s="318"/>
      <c r="J15" s="318"/>
      <c r="K15" s="318"/>
      <c r="L15" s="318"/>
      <c r="M15" s="318"/>
      <c r="N15" s="318"/>
      <c r="O15" s="318"/>
      <c r="P15" s="318"/>
      <c r="Q15" s="318"/>
      <c r="R15" s="318"/>
      <c r="S15" s="319"/>
      <c r="V15" s="1147"/>
      <c r="W15" s="1148"/>
      <c r="X15" s="1147"/>
      <c r="Y15" s="1150"/>
      <c r="Z15" s="1148"/>
      <c r="AA15" s="1148"/>
      <c r="AB15" s="1148"/>
      <c r="AC15" s="1148"/>
      <c r="AD15" s="1148"/>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f t="shared" si="1"/>
        <v>35</v>
      </c>
      <c r="BC15" s="323"/>
      <c r="BD15" s="323"/>
      <c r="BE15" s="323"/>
      <c r="BF15" s="323"/>
      <c r="BG15" s="323"/>
      <c r="BH15" s="323"/>
      <c r="BI15" s="323"/>
      <c r="BJ15" s="323">
        <f t="shared" si="2"/>
        <v>44.012435761589408</v>
      </c>
      <c r="BK15" s="323"/>
      <c r="BL15" s="323"/>
      <c r="BM15" s="323">
        <f t="shared" si="0"/>
        <v>44.012435761589408</v>
      </c>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c r="CL15" s="323"/>
      <c r="CM15" s="323"/>
      <c r="CN15" s="323"/>
      <c r="CO15" s="323"/>
      <c r="CP15" s="323"/>
      <c r="CQ15" s="323"/>
      <c r="CR15" s="323"/>
      <c r="CS15" s="323"/>
      <c r="CT15" s="323"/>
      <c r="CU15" s="323"/>
      <c r="CV15" s="323"/>
      <c r="CW15" s="323"/>
      <c r="CX15" s="323"/>
      <c r="CY15" s="323"/>
      <c r="CZ15" s="323"/>
      <c r="EK15" s="1070"/>
      <c r="EL15" s="1070"/>
      <c r="EM15" s="1070"/>
      <c r="EN15" s="1070"/>
      <c r="EO15" s="1070"/>
      <c r="EP15" s="1070"/>
      <c r="EQ15" s="1070"/>
    </row>
    <row r="16" spans="2:147" ht="21" customHeight="1" thickBot="1" x14ac:dyDescent="0.4">
      <c r="B16" s="320"/>
      <c r="C16" s="321"/>
      <c r="D16" s="321"/>
      <c r="E16" s="321"/>
      <c r="F16" s="321"/>
      <c r="G16" s="321"/>
      <c r="H16" s="321"/>
      <c r="I16" s="321"/>
      <c r="J16" s="321"/>
      <c r="K16" s="321"/>
      <c r="L16" s="321"/>
      <c r="M16" s="321"/>
      <c r="N16" s="321"/>
      <c r="O16" s="321"/>
      <c r="P16" s="321"/>
      <c r="Q16" s="321"/>
      <c r="R16" s="321"/>
      <c r="S16" s="322"/>
      <c r="V16" s="1147"/>
      <c r="W16" s="1148"/>
      <c r="X16" s="1148"/>
      <c r="Y16" s="1150"/>
      <c r="Z16" s="1148"/>
      <c r="AA16" s="1148"/>
      <c r="AB16" s="1148"/>
      <c r="AC16" s="1148"/>
      <c r="AD16" s="1148"/>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f t="shared" si="1"/>
        <v>40</v>
      </c>
      <c r="BC16" s="323"/>
      <c r="BD16" s="323"/>
      <c r="BE16" s="323"/>
      <c r="BF16" s="323"/>
      <c r="BG16" s="323"/>
      <c r="BH16" s="323"/>
      <c r="BI16" s="323"/>
      <c r="BJ16" s="323">
        <f t="shared" si="2"/>
        <v>50.299926584673607</v>
      </c>
      <c r="BK16" s="323"/>
      <c r="BL16" s="323"/>
      <c r="BM16" s="323">
        <f t="shared" si="0"/>
        <v>50.299926584673607</v>
      </c>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EK16" s="1070"/>
      <c r="EL16" s="1070"/>
      <c r="EM16" s="1070"/>
      <c r="EN16" s="1070"/>
      <c r="EO16" s="1070"/>
      <c r="EP16" s="1070"/>
      <c r="EQ16" s="1070"/>
    </row>
    <row r="17" spans="1:222" s="176" customFormat="1" ht="17.149999999999999" customHeight="1" x14ac:dyDescent="0.35">
      <c r="B17" s="685"/>
      <c r="C17" s="488"/>
      <c r="D17" s="488"/>
      <c r="E17" s="488"/>
      <c r="F17" s="487"/>
      <c r="G17" s="487"/>
      <c r="H17" s="487"/>
      <c r="I17" s="487"/>
      <c r="J17" s="487"/>
      <c r="K17" s="487"/>
      <c r="L17" s="487"/>
      <c r="M17" s="487"/>
      <c r="N17" s="487"/>
      <c r="O17" s="487"/>
      <c r="P17" s="487"/>
      <c r="Q17" s="491"/>
      <c r="R17" s="491"/>
      <c r="S17" s="489"/>
      <c r="T17" s="174"/>
      <c r="V17" s="1147"/>
      <c r="W17" s="1148"/>
      <c r="X17" s="1148"/>
      <c r="Y17" s="1149">
        <f>G517</f>
        <v>0</v>
      </c>
      <c r="Z17" s="1148"/>
      <c r="AA17" s="1148"/>
      <c r="AB17" s="1148"/>
      <c r="AC17" s="1148"/>
      <c r="AD17" s="1148"/>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f t="shared" si="1"/>
        <v>45</v>
      </c>
      <c r="BC17" s="323"/>
      <c r="BD17" s="323"/>
      <c r="BE17" s="323"/>
      <c r="BF17" s="323"/>
      <c r="BG17" s="323"/>
      <c r="BH17" s="323"/>
      <c r="BI17" s="323"/>
      <c r="BJ17" s="323">
        <f t="shared" si="2"/>
        <v>56.587417407757805</v>
      </c>
      <c r="BK17" s="323"/>
      <c r="BL17" s="323"/>
      <c r="BM17" s="323">
        <f>$BM$8*BB17</f>
        <v>56.587417407757805</v>
      </c>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c r="CJ17" s="323"/>
      <c r="CK17" s="323"/>
      <c r="CL17" s="323"/>
      <c r="CM17" s="323"/>
      <c r="CN17" s="323"/>
      <c r="CO17" s="323"/>
      <c r="CP17" s="323"/>
      <c r="CQ17" s="323"/>
      <c r="CR17" s="323"/>
      <c r="CS17" s="323"/>
      <c r="CT17" s="323"/>
      <c r="CU17" s="323"/>
      <c r="CV17" s="323"/>
      <c r="CW17" s="323"/>
      <c r="CX17" s="323"/>
      <c r="CY17" s="323"/>
      <c r="CZ17" s="323"/>
      <c r="DA17" s="323"/>
      <c r="DB17" s="323"/>
      <c r="DC17" s="323"/>
      <c r="DD17" s="323"/>
      <c r="DE17" s="323"/>
      <c r="DF17" s="323"/>
      <c r="DG17" s="323"/>
      <c r="DH17" s="323"/>
      <c r="DI17" s="323"/>
      <c r="DJ17" s="323"/>
      <c r="DK17" s="323"/>
      <c r="DL17" s="323"/>
      <c r="DM17" s="323"/>
      <c r="DN17" s="323"/>
      <c r="DO17" s="323"/>
      <c r="DP17" s="323"/>
      <c r="DQ17" s="323"/>
      <c r="DR17" s="323"/>
      <c r="DS17" s="323"/>
      <c r="DT17" s="323"/>
      <c r="DU17" s="323"/>
      <c r="DV17" s="323"/>
      <c r="DW17" s="323"/>
      <c r="DX17" s="323"/>
      <c r="DY17" s="323"/>
      <c r="DZ17" s="323"/>
      <c r="EA17" s="323"/>
      <c r="EB17" s="323"/>
      <c r="EC17" s="323"/>
      <c r="ED17" s="323"/>
      <c r="EE17" s="323"/>
      <c r="EF17" s="323"/>
      <c r="EG17" s="323"/>
      <c r="EH17" s="323"/>
      <c r="EI17" s="323"/>
      <c r="EJ17" s="323"/>
      <c r="EK17" s="1071"/>
      <c r="EL17" s="1071"/>
      <c r="EM17" s="1071"/>
      <c r="EN17" s="1071"/>
      <c r="EO17" s="1071"/>
      <c r="EP17" s="1071"/>
      <c r="EQ17" s="1071"/>
      <c r="ER17" s="323"/>
      <c r="ES17" s="323"/>
      <c r="ET17" s="323"/>
      <c r="EU17" s="323"/>
      <c r="EV17" s="323"/>
      <c r="EW17" s="323"/>
      <c r="EX17" s="323"/>
      <c r="EY17" s="323"/>
      <c r="EZ17" s="323"/>
      <c r="FA17" s="323"/>
      <c r="FB17" s="323"/>
      <c r="FC17" s="323"/>
      <c r="FD17" s="323"/>
      <c r="FE17" s="323"/>
      <c r="FF17" s="323"/>
      <c r="FG17" s="323"/>
      <c r="FH17" s="323"/>
      <c r="FI17" s="323"/>
      <c r="FJ17" s="323"/>
      <c r="FK17" s="323"/>
      <c r="FL17" s="323"/>
      <c r="FM17" s="323"/>
      <c r="FN17" s="323"/>
      <c r="FO17" s="323"/>
      <c r="FP17" s="323"/>
      <c r="FQ17" s="323"/>
      <c r="FR17" s="323"/>
      <c r="FS17" s="323"/>
      <c r="FT17" s="323"/>
      <c r="FU17" s="323"/>
      <c r="FV17" s="323"/>
      <c r="FW17" s="323"/>
      <c r="FX17" s="323"/>
      <c r="FY17" s="323"/>
      <c r="FZ17" s="323"/>
      <c r="GA17" s="323"/>
      <c r="GB17" s="323"/>
      <c r="GC17" s="323"/>
      <c r="GD17" s="323"/>
      <c r="GE17" s="323"/>
      <c r="GF17" s="323"/>
      <c r="GG17" s="323"/>
      <c r="GH17" s="323"/>
      <c r="GI17" s="323"/>
      <c r="GJ17" s="323"/>
      <c r="GK17" s="323"/>
      <c r="GL17" s="323"/>
      <c r="GM17" s="323"/>
      <c r="GN17" s="323"/>
      <c r="GO17" s="323"/>
      <c r="GP17" s="323"/>
      <c r="GQ17" s="323"/>
      <c r="GR17" s="323"/>
      <c r="GS17" s="323"/>
      <c r="GT17" s="323"/>
      <c r="GU17" s="323"/>
      <c r="GV17" s="323"/>
      <c r="GW17" s="323"/>
      <c r="GX17" s="323"/>
      <c r="GY17" s="323"/>
      <c r="GZ17" s="323"/>
      <c r="HA17" s="323"/>
      <c r="HB17" s="323"/>
      <c r="HC17" s="323"/>
      <c r="HD17" s="323"/>
      <c r="HE17" s="323"/>
      <c r="HF17" s="323"/>
      <c r="HG17" s="323"/>
      <c r="HH17" s="323"/>
      <c r="HI17" s="323"/>
      <c r="HJ17" s="323"/>
      <c r="HK17" s="323"/>
      <c r="HL17" s="323"/>
      <c r="HM17" s="323"/>
      <c r="HN17" s="323"/>
    </row>
    <row r="18" spans="1:222" s="176" customFormat="1" ht="36" x14ac:dyDescent="0.35">
      <c r="B18" s="1007" t="s">
        <v>9</v>
      </c>
      <c r="C18" s="1008"/>
      <c r="D18" s="1008"/>
      <c r="E18" s="1008"/>
      <c r="F18" s="1008"/>
      <c r="G18" s="1008"/>
      <c r="H18" s="564"/>
      <c r="I18" s="564"/>
      <c r="J18" s="564"/>
      <c r="K18" s="564"/>
      <c r="L18" s="564"/>
      <c r="M18" s="564"/>
      <c r="N18" s="564"/>
      <c r="O18" s="564"/>
      <c r="P18" s="564"/>
      <c r="Q18" s="565"/>
      <c r="R18" s="565"/>
      <c r="S18" s="490"/>
      <c r="T18" s="174"/>
      <c r="U18" s="174"/>
      <c r="V18" s="1147"/>
      <c r="W18" s="1148"/>
      <c r="X18" s="1148" t="str">
        <f>VLOOKUP(G21,Gældende_BR[],2,0)</f>
        <v>År 2023</v>
      </c>
      <c r="Y18" s="1148" t="s">
        <v>4</v>
      </c>
      <c r="Z18" s="1148"/>
      <c r="AA18" s="1148"/>
      <c r="AB18" s="1148"/>
      <c r="AC18" s="1148"/>
      <c r="AD18" s="1148"/>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f t="shared" si="1"/>
        <v>50</v>
      </c>
      <c r="BC18" s="323"/>
      <c r="BD18" s="323"/>
      <c r="BE18" s="323"/>
      <c r="BF18" s="323"/>
      <c r="BG18" s="323"/>
      <c r="BH18" s="323"/>
      <c r="BI18" s="323"/>
      <c r="BJ18" s="323">
        <f>$BJ$8*BB18</f>
        <v>62.87490823084201</v>
      </c>
      <c r="BK18" s="323"/>
      <c r="BL18" s="323"/>
      <c r="BM18" s="323">
        <f>$BM$8*BB18</f>
        <v>62.87490823084201</v>
      </c>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c r="CL18" s="323"/>
      <c r="CM18" s="323"/>
      <c r="CN18" s="323"/>
      <c r="CO18" s="323"/>
      <c r="CP18" s="323"/>
      <c r="CQ18" s="323"/>
      <c r="CR18" s="323"/>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1071"/>
      <c r="EL18" s="1071"/>
      <c r="EM18" s="1071"/>
      <c r="EN18" s="1071"/>
      <c r="EO18" s="1071"/>
      <c r="EP18" s="1071"/>
      <c r="EQ18" s="1071"/>
      <c r="ER18" s="323"/>
      <c r="ES18" s="323"/>
      <c r="ET18" s="323"/>
      <c r="EU18" s="323"/>
      <c r="EV18" s="323"/>
      <c r="EW18" s="323"/>
      <c r="EX18" s="323"/>
      <c r="EY18" s="323"/>
      <c r="EZ18" s="323"/>
      <c r="FA18" s="323"/>
      <c r="FB18" s="323"/>
      <c r="FC18" s="323"/>
      <c r="FD18" s="323"/>
      <c r="FE18" s="323"/>
      <c r="FF18" s="323"/>
      <c r="FG18" s="323"/>
      <c r="FH18" s="323"/>
      <c r="FI18" s="323"/>
      <c r="FJ18" s="323"/>
      <c r="FK18" s="323"/>
      <c r="FL18" s="323"/>
      <c r="FM18" s="323"/>
      <c r="FN18" s="323"/>
      <c r="FO18" s="323"/>
      <c r="FP18" s="323"/>
      <c r="FQ18" s="323"/>
      <c r="FR18" s="323"/>
      <c r="FS18" s="323"/>
      <c r="FT18" s="323"/>
      <c r="FU18" s="323"/>
      <c r="FV18" s="323"/>
      <c r="FW18" s="323"/>
      <c r="FX18" s="323"/>
      <c r="FY18" s="323"/>
      <c r="FZ18" s="323"/>
      <c r="GA18" s="323"/>
      <c r="GB18" s="323"/>
      <c r="GC18" s="323"/>
      <c r="GD18" s="323"/>
      <c r="GE18" s="323"/>
      <c r="GF18" s="323"/>
      <c r="GG18" s="323"/>
      <c r="GH18" s="323"/>
      <c r="GI18" s="323"/>
      <c r="GJ18" s="323"/>
      <c r="GK18" s="323"/>
      <c r="GL18" s="323"/>
      <c r="GM18" s="323"/>
      <c r="GN18" s="323"/>
      <c r="GO18" s="323"/>
      <c r="GP18" s="323"/>
      <c r="GQ18" s="323"/>
      <c r="GR18" s="323"/>
      <c r="GS18" s="323"/>
      <c r="GT18" s="323"/>
      <c r="GU18" s="323"/>
      <c r="GV18" s="323"/>
      <c r="GW18" s="323"/>
      <c r="GX18" s="323"/>
      <c r="GY18" s="323"/>
      <c r="GZ18" s="323"/>
      <c r="HA18" s="323"/>
      <c r="HB18" s="323"/>
      <c r="HC18" s="323"/>
      <c r="HD18" s="323"/>
      <c r="HE18" s="323"/>
      <c r="HF18" s="323"/>
      <c r="HG18" s="323"/>
      <c r="HH18" s="323"/>
      <c r="HI18" s="323"/>
      <c r="HJ18" s="323"/>
      <c r="HK18" s="323"/>
      <c r="HL18" s="323"/>
      <c r="HM18" s="323"/>
      <c r="HN18" s="323"/>
    </row>
    <row r="19" spans="1:222" s="176" customFormat="1" ht="50.15" customHeight="1" x14ac:dyDescent="0.35">
      <c r="B19" s="1132" t="s">
        <v>10</v>
      </c>
      <c r="C19" s="1086" t="s">
        <v>11</v>
      </c>
      <c r="D19" s="1086"/>
      <c r="E19" s="1133" t="s">
        <v>12</v>
      </c>
      <c r="F19" s="1134" t="s">
        <v>722</v>
      </c>
      <c r="G19" s="1134" t="s">
        <v>14</v>
      </c>
      <c r="H19" s="1134" t="s">
        <v>13</v>
      </c>
      <c r="I19" s="1134" t="s">
        <v>723</v>
      </c>
      <c r="J19" s="1134" t="s">
        <v>991</v>
      </c>
      <c r="K19" s="1133" t="s">
        <v>724</v>
      </c>
      <c r="L19" s="1134" t="s">
        <v>1105</v>
      </c>
      <c r="M19" s="1134" t="s">
        <v>15</v>
      </c>
      <c r="N19" s="1134" t="s">
        <v>1106</v>
      </c>
      <c r="O19" s="1134" t="s">
        <v>16</v>
      </c>
      <c r="P19" s="1135" t="str">
        <f>IF(O21="Dropdown!$R$20","","Driftsforbrug varme")</f>
        <v>Driftsforbrug varme</v>
      </c>
      <c r="Q19" s="1135"/>
      <c r="R19" s="1135" t="str">
        <f>IF(Q21="Dropdown!$R$20","","Driftsforbrug el")</f>
        <v>Driftsforbrug el</v>
      </c>
      <c r="S19" s="1136"/>
      <c r="T19" s="174"/>
      <c r="V19" s="1148"/>
      <c r="W19" s="1148"/>
      <c r="X19" s="1148"/>
      <c r="Y19" s="1148" t="s">
        <v>17</v>
      </c>
      <c r="Z19" s="1148" t="s">
        <v>1037</v>
      </c>
      <c r="AA19" s="1148"/>
      <c r="AB19" s="1148" t="s">
        <v>18</v>
      </c>
      <c r="AC19" s="1148"/>
      <c r="AD19" s="1148" t="s">
        <v>19</v>
      </c>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f>SUM(AF$75:AF$687)</f>
        <v>183.97114802135965</v>
      </c>
      <c r="BJ19" s="323"/>
      <c r="BK19" s="323"/>
      <c r="BL19" s="323">
        <f>SUM(AG$75:AG$687)</f>
        <v>83.796895537264248</v>
      </c>
      <c r="BM19" s="323"/>
      <c r="BN19" s="323"/>
      <c r="BO19" s="323"/>
      <c r="BP19" s="323"/>
      <c r="BQ19" s="323"/>
      <c r="BR19" s="323"/>
      <c r="BS19" s="323"/>
      <c r="BT19" s="323"/>
      <c r="BU19" s="323"/>
      <c r="BV19" s="323"/>
      <c r="BW19" s="323"/>
      <c r="BX19" s="323"/>
      <c r="BY19" s="323"/>
      <c r="BZ19" s="323"/>
      <c r="CA19" s="323"/>
      <c r="CB19" s="323"/>
      <c r="CC19" s="323"/>
      <c r="CD19" s="323"/>
      <c r="CE19" s="323"/>
      <c r="CF19" s="323"/>
      <c r="CG19" s="323"/>
      <c r="CH19" s="323"/>
      <c r="CI19" s="323"/>
      <c r="CJ19" s="323"/>
      <c r="CK19" s="323"/>
      <c r="CL19" s="323"/>
      <c r="CM19" s="323"/>
      <c r="CN19" s="323"/>
      <c r="CO19" s="323"/>
      <c r="CP19" s="323"/>
      <c r="CQ19" s="323"/>
      <c r="CR19" s="323"/>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1071"/>
      <c r="EL19" s="1071"/>
      <c r="EM19" s="1071"/>
      <c r="EN19" s="1071"/>
      <c r="EO19" s="1071"/>
      <c r="EP19" s="1071"/>
      <c r="EQ19" s="1071"/>
      <c r="ER19" s="323"/>
      <c r="ES19" s="323"/>
      <c r="ET19" s="323"/>
      <c r="EU19" s="323"/>
      <c r="EV19" s="323"/>
      <c r="EW19" s="323"/>
      <c r="EX19" s="323"/>
      <c r="EY19" s="323"/>
      <c r="EZ19" s="323"/>
      <c r="FA19" s="323"/>
      <c r="FB19" s="323"/>
      <c r="FC19" s="323"/>
      <c r="FD19" s="323"/>
      <c r="FE19" s="323"/>
      <c r="FF19" s="323"/>
      <c r="FG19" s="323"/>
      <c r="FH19" s="323"/>
      <c r="FI19" s="323"/>
      <c r="FJ19" s="323"/>
      <c r="FK19" s="323"/>
      <c r="FL19" s="323"/>
      <c r="FM19" s="323"/>
      <c r="FN19" s="323"/>
      <c r="FO19" s="323"/>
      <c r="FP19" s="323"/>
      <c r="FQ19" s="323"/>
      <c r="FR19" s="323"/>
      <c r="FS19" s="323"/>
      <c r="FT19" s="323"/>
      <c r="FU19" s="323"/>
      <c r="FV19" s="323"/>
      <c r="FW19" s="323"/>
      <c r="FX19" s="323"/>
      <c r="FY19" s="323"/>
      <c r="FZ19" s="323"/>
      <c r="GA19" s="323"/>
      <c r="GB19" s="323"/>
      <c r="GC19" s="323"/>
      <c r="GD19" s="323"/>
      <c r="GE19" s="323"/>
      <c r="GF19" s="323"/>
      <c r="GG19" s="323"/>
      <c r="GH19" s="323"/>
      <c r="GI19" s="323"/>
      <c r="GJ19" s="323"/>
      <c r="GK19" s="323"/>
      <c r="GL19" s="323"/>
      <c r="GM19" s="323"/>
      <c r="GN19" s="323"/>
      <c r="GO19" s="323"/>
      <c r="GP19" s="323"/>
      <c r="GQ19" s="323"/>
      <c r="GR19" s="323"/>
      <c r="GS19" s="323"/>
      <c r="GT19" s="323"/>
      <c r="GU19" s="323"/>
      <c r="GV19" s="323"/>
      <c r="GW19" s="323"/>
      <c r="GX19" s="323"/>
      <c r="GY19" s="323"/>
      <c r="GZ19" s="323"/>
      <c r="HA19" s="323"/>
      <c r="HB19" s="323"/>
      <c r="HC19" s="323"/>
      <c r="HD19" s="323"/>
      <c r="HE19" s="323"/>
      <c r="HF19" s="323"/>
      <c r="HG19" s="323"/>
      <c r="HH19" s="323"/>
      <c r="HI19" s="323"/>
      <c r="HJ19" s="323"/>
      <c r="HK19" s="323"/>
      <c r="HL19" s="323"/>
      <c r="HM19" s="323"/>
      <c r="HN19" s="323"/>
    </row>
    <row r="20" spans="1:222" s="176" customFormat="1" ht="18.649999999999999" customHeight="1" x14ac:dyDescent="0.35">
      <c r="B20" s="1132"/>
      <c r="C20" s="1086"/>
      <c r="D20" s="1086"/>
      <c r="E20" s="1134"/>
      <c r="F20" s="1137"/>
      <c r="G20" s="1134"/>
      <c r="H20" s="1138"/>
      <c r="I20" s="1138"/>
      <c r="J20" s="1139"/>
      <c r="K20" s="1139"/>
      <c r="L20" s="1139"/>
      <c r="M20" s="1139"/>
      <c r="N20" s="1139"/>
      <c r="O20" s="1139"/>
      <c r="P20" s="1140" t="s">
        <v>1030</v>
      </c>
      <c r="Q20" s="1140"/>
      <c r="R20" s="1140" t="s">
        <v>1030</v>
      </c>
      <c r="S20" s="1141"/>
      <c r="T20" s="174"/>
      <c r="U20" s="174"/>
      <c r="V20" s="1147"/>
      <c r="W20" s="1148"/>
      <c r="X20" s="1148" t="s">
        <v>21</v>
      </c>
      <c r="Y20" s="1148">
        <f>IF($O$21=Dropdown!$R$19,Antagelser!F366,Q21)</f>
        <v>35.269157994323557</v>
      </c>
      <c r="Z20" s="1148">
        <f>Y20</f>
        <v>35.269157994323557</v>
      </c>
      <c r="AA20" s="1148" t="s">
        <v>22</v>
      </c>
      <c r="AB20" s="1148">
        <f>VLOOKUP(M21,Antagelser!B21:C24,2,FALSE)*Scenarier!Z20</f>
        <v>2.6169715231788078</v>
      </c>
      <c r="AC20" s="1148" t="s">
        <v>23</v>
      </c>
      <c r="AD20" s="1148">
        <f>AB20*Y24*J21</f>
        <v>52339.430463576151</v>
      </c>
      <c r="AE20" s="323" t="s">
        <v>24</v>
      </c>
      <c r="AF20" s="323">
        <f>IF($O$21=Dropdown!$R$19,Antagelser!F366,AF70)</f>
        <v>35.269157994323557</v>
      </c>
      <c r="AG20" s="323">
        <f>VLOOKUP(M21,Antagelser!B21:C24,2,FALSE)*Scenarier!AF20</f>
        <v>2.6169715231788078</v>
      </c>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f>SUM(AA61:AA68)</f>
        <v>168675.64802135967</v>
      </c>
      <c r="BJ20" s="323"/>
      <c r="BK20" s="323"/>
      <c r="BL20" s="323"/>
      <c r="BM20" s="323"/>
      <c r="BN20" s="323"/>
      <c r="BO20" s="323"/>
      <c r="BP20" s="323"/>
      <c r="BQ20" s="323"/>
      <c r="BR20" s="323"/>
      <c r="BS20" s="323"/>
      <c r="BT20" s="323"/>
      <c r="BU20" s="323"/>
      <c r="BV20" s="323"/>
      <c r="BW20" s="323"/>
      <c r="BX20" s="323"/>
      <c r="BY20" s="323"/>
      <c r="BZ20" s="323"/>
      <c r="CA20" s="323"/>
      <c r="CB20" s="323"/>
      <c r="CC20" s="323"/>
      <c r="CD20" s="323"/>
      <c r="CE20" s="323"/>
      <c r="CF20" s="323"/>
      <c r="CG20" s="323"/>
      <c r="CH20" s="323"/>
      <c r="CI20" s="323"/>
      <c r="CJ20" s="323"/>
      <c r="CK20" s="323"/>
      <c r="CL20" s="323"/>
      <c r="CM20" s="323"/>
      <c r="CN20" s="323"/>
      <c r="CO20" s="323"/>
      <c r="CP20" s="323"/>
      <c r="CQ20" s="323"/>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23"/>
      <c r="DW20" s="323"/>
      <c r="DX20" s="323"/>
      <c r="DY20" s="323"/>
      <c r="DZ20" s="323"/>
      <c r="EA20" s="323"/>
      <c r="EB20" s="323"/>
      <c r="EC20" s="323"/>
      <c r="ED20" s="323"/>
      <c r="EE20" s="323"/>
      <c r="EF20" s="323"/>
      <c r="EG20" s="323"/>
      <c r="EH20" s="323"/>
      <c r="EI20" s="323"/>
      <c r="EJ20" s="323"/>
      <c r="EK20" s="1071"/>
      <c r="EL20" s="1071"/>
      <c r="EM20" s="1071"/>
      <c r="EN20" s="1071"/>
      <c r="EO20" s="1071"/>
      <c r="EP20" s="1071"/>
      <c r="EQ20" s="1071"/>
      <c r="ER20" s="323"/>
      <c r="ES20" s="323"/>
      <c r="ET20" s="323"/>
      <c r="EU20" s="323"/>
      <c r="EV20" s="323"/>
      <c r="EW20" s="323"/>
      <c r="EX20" s="323"/>
      <c r="EY20" s="323"/>
      <c r="EZ20" s="323"/>
      <c r="FA20" s="323"/>
      <c r="FB20" s="323"/>
      <c r="FC20" s="323"/>
      <c r="FD20" s="323"/>
      <c r="FE20" s="323"/>
      <c r="FF20" s="323"/>
      <c r="FG20" s="323"/>
      <c r="FH20" s="323"/>
      <c r="FI20" s="323"/>
      <c r="FJ20" s="323"/>
      <c r="FK20" s="323"/>
      <c r="FL20" s="323"/>
      <c r="FM20" s="323"/>
      <c r="FN20" s="323"/>
      <c r="FO20" s="323"/>
      <c r="FP20" s="323"/>
      <c r="FQ20" s="323"/>
      <c r="FR20" s="323"/>
      <c r="FS20" s="323"/>
      <c r="FT20" s="323"/>
      <c r="FU20" s="323"/>
      <c r="FV20" s="323"/>
      <c r="FW20" s="323"/>
      <c r="FX20" s="323"/>
      <c r="FY20" s="323"/>
      <c r="FZ20" s="323"/>
      <c r="GA20" s="323"/>
      <c r="GB20" s="323"/>
      <c r="GC20" s="323"/>
      <c r="GD20" s="323"/>
      <c r="GE20" s="323"/>
      <c r="GF20" s="323"/>
      <c r="GG20" s="323"/>
      <c r="GH20" s="323"/>
      <c r="GI20" s="323"/>
      <c r="GJ20" s="323"/>
      <c r="GK20" s="323"/>
      <c r="GL20" s="323"/>
      <c r="GM20" s="323"/>
      <c r="GN20" s="323"/>
      <c r="GO20" s="323"/>
      <c r="GP20" s="323"/>
      <c r="GQ20" s="323"/>
      <c r="GR20" s="323"/>
      <c r="GS20" s="323"/>
      <c r="GT20" s="323"/>
      <c r="GU20" s="323"/>
      <c r="GV20" s="323"/>
      <c r="GW20" s="323"/>
      <c r="GX20" s="323"/>
      <c r="GY20" s="323"/>
      <c r="GZ20" s="323"/>
      <c r="HA20" s="323"/>
      <c r="HB20" s="323"/>
      <c r="HC20" s="323"/>
      <c r="HD20" s="323"/>
      <c r="HE20" s="323"/>
      <c r="HF20" s="323"/>
      <c r="HG20" s="323"/>
      <c r="HH20" s="323"/>
      <c r="HI20" s="323"/>
      <c r="HJ20" s="323"/>
      <c r="HK20" s="323"/>
      <c r="HL20" s="323"/>
      <c r="HM20" s="323"/>
      <c r="HN20" s="323"/>
    </row>
    <row r="21" spans="1:222" s="176" customFormat="1" ht="39" customHeight="1" x14ac:dyDescent="0.35">
      <c r="A21" s="309"/>
      <c r="B21" s="310" t="s">
        <v>1108</v>
      </c>
      <c r="C21" s="995" t="s">
        <v>1109</v>
      </c>
      <c r="D21" s="996"/>
      <c r="E21" s="302" t="s">
        <v>992</v>
      </c>
      <c r="F21" s="303">
        <f ca="1">TODAY()</f>
        <v>45442</v>
      </c>
      <c r="G21" s="302">
        <v>2024</v>
      </c>
      <c r="H21" s="304" t="s">
        <v>1114</v>
      </c>
      <c r="I21" s="302">
        <v>2</v>
      </c>
      <c r="J21" s="532">
        <v>400</v>
      </c>
      <c r="K21" s="302" t="s">
        <v>732</v>
      </c>
      <c r="L21" s="681">
        <v>0.22</v>
      </c>
      <c r="M21" s="304" t="s">
        <v>27</v>
      </c>
      <c r="N21" s="302" t="s">
        <v>771</v>
      </c>
      <c r="O21" s="870" t="s">
        <v>28</v>
      </c>
      <c r="P21" s="1142">
        <f>IF(J21=0,0,Antagelser!F366)</f>
        <v>35.269157994323557</v>
      </c>
      <c r="Q21" s="567">
        <v>30</v>
      </c>
      <c r="R21" s="1143">
        <f>IF(J21=0,0,Antagelser!G366)</f>
        <v>8.2308420056764433</v>
      </c>
      <c r="S21" s="568">
        <v>14</v>
      </c>
      <c r="T21" s="174"/>
      <c r="U21" s="656"/>
      <c r="V21" s="1148"/>
      <c r="W21" s="1148"/>
      <c r="X21" s="1148" t="s">
        <v>29</v>
      </c>
      <c r="Y21" s="1147">
        <f>IF($O$21=Dropdown!$R$19,Antagelser!G366,S21)</f>
        <v>8.2308420056764433</v>
      </c>
      <c r="Z21" s="1148">
        <f>IF(Y21-Y17&lt;0,0,Y21-Y17)</f>
        <v>8.2308420056764433</v>
      </c>
      <c r="AA21" s="1148" t="s">
        <v>22</v>
      </c>
      <c r="AB21" s="1148">
        <f>Z21*Antagelser!C24</f>
        <v>0.52677388836329242</v>
      </c>
      <c r="AC21" s="1148" t="s">
        <v>23</v>
      </c>
      <c r="AD21" s="1148">
        <f>AB21*Y24*J21</f>
        <v>10535.477767265849</v>
      </c>
      <c r="AE21" s="323" t="s">
        <v>24</v>
      </c>
      <c r="AF21" s="323">
        <f>IF($O$21=Dropdown!$R$19,Antagelser!F366,AF69)</f>
        <v>35.269157994323557</v>
      </c>
      <c r="AG21" s="323">
        <f>AF21*Antagelser!C24</f>
        <v>2.2572261116367076</v>
      </c>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c r="BO21" s="323"/>
      <c r="BP21" s="323"/>
      <c r="BQ21" s="323"/>
      <c r="BR21" s="323"/>
      <c r="BS21" s="323"/>
      <c r="BT21" s="323"/>
      <c r="BU21" s="323"/>
      <c r="BV21" s="323"/>
      <c r="BW21" s="323"/>
      <c r="BX21" s="323"/>
      <c r="BY21" s="323"/>
      <c r="BZ21" s="323"/>
      <c r="CA21" s="323"/>
      <c r="CB21" s="323"/>
      <c r="CC21" s="323"/>
      <c r="CD21" s="323"/>
      <c r="CE21" s="323"/>
      <c r="CF21" s="323"/>
      <c r="CG21" s="323"/>
      <c r="CH21" s="323"/>
      <c r="CI21" s="323"/>
      <c r="CJ21" s="323"/>
      <c r="CK21" s="323"/>
      <c r="CL21" s="323"/>
      <c r="CM21" s="323"/>
      <c r="CN21" s="323"/>
      <c r="CO21" s="323"/>
      <c r="CP21" s="323"/>
      <c r="CQ21" s="323"/>
      <c r="CR21" s="323"/>
      <c r="CS21" s="323"/>
      <c r="CT21" s="323"/>
      <c r="CU21" s="323"/>
      <c r="CV21" s="323"/>
      <c r="CW21" s="323"/>
      <c r="CX21" s="323"/>
      <c r="CY21" s="323"/>
      <c r="CZ21" s="323"/>
      <c r="DA21" s="323"/>
      <c r="DB21" s="323"/>
      <c r="DC21" s="323"/>
      <c r="DD21" s="323"/>
      <c r="DE21" s="323"/>
      <c r="DF21" s="323"/>
      <c r="DG21" s="323"/>
      <c r="DH21" s="323"/>
      <c r="DI21" s="323"/>
      <c r="DJ21" s="323"/>
      <c r="DK21" s="323"/>
      <c r="DL21" s="323"/>
      <c r="DM21" s="323"/>
      <c r="DN21" s="323"/>
      <c r="DO21" s="323"/>
      <c r="DP21" s="323"/>
      <c r="DQ21" s="323"/>
      <c r="DR21" s="323"/>
      <c r="DS21" s="323"/>
      <c r="DT21" s="323"/>
      <c r="DU21" s="323"/>
      <c r="DV21" s="323"/>
      <c r="DW21" s="323"/>
      <c r="DX21" s="323"/>
      <c r="DY21" s="323"/>
      <c r="DZ21" s="323"/>
      <c r="EA21" s="323"/>
      <c r="EB21" s="323"/>
      <c r="EC21" s="323"/>
      <c r="ED21" s="323"/>
      <c r="EE21" s="323"/>
      <c r="EF21" s="323"/>
      <c r="EG21" s="323"/>
      <c r="EH21" s="323"/>
      <c r="EI21" s="323"/>
      <c r="EJ21" s="323"/>
      <c r="EK21" s="1071"/>
      <c r="EL21" s="1071"/>
      <c r="EM21" s="1071"/>
      <c r="EN21" s="1071"/>
      <c r="EO21" s="1071"/>
      <c r="EP21" s="1071"/>
      <c r="EQ21" s="1071"/>
      <c r="ER21" s="323"/>
      <c r="ES21" s="323"/>
      <c r="ET21" s="323"/>
      <c r="EU21" s="323"/>
      <c r="EV21" s="323"/>
      <c r="EW21" s="323"/>
      <c r="EX21" s="323"/>
      <c r="EY21" s="323"/>
      <c r="EZ21" s="323"/>
      <c r="FA21" s="323"/>
      <c r="FB21" s="323"/>
      <c r="FC21" s="323"/>
      <c r="FD21" s="323"/>
      <c r="FE21" s="323"/>
      <c r="FF21" s="323"/>
      <c r="FG21" s="323"/>
      <c r="FH21" s="323"/>
      <c r="FI21" s="323"/>
      <c r="FJ21" s="323"/>
      <c r="FK21" s="323"/>
      <c r="FL21" s="323"/>
      <c r="FM21" s="323"/>
      <c r="FN21" s="323"/>
      <c r="FO21" s="323"/>
      <c r="FP21" s="323"/>
      <c r="FQ21" s="323"/>
      <c r="FR21" s="323"/>
      <c r="FS21" s="323"/>
      <c r="FT21" s="323"/>
      <c r="FU21" s="323"/>
      <c r="FV21" s="323"/>
      <c r="FW21" s="323"/>
      <c r="FX21" s="323"/>
      <c r="FY21" s="323"/>
      <c r="FZ21" s="323"/>
      <c r="GA21" s="323"/>
      <c r="GB21" s="323"/>
      <c r="GC21" s="323"/>
      <c r="GD21" s="323"/>
      <c r="GE21" s="323"/>
      <c r="GF21" s="323"/>
      <c r="GG21" s="323"/>
      <c r="GH21" s="323"/>
      <c r="GI21" s="323"/>
      <c r="GJ21" s="323"/>
      <c r="GK21" s="323"/>
      <c r="GL21" s="323"/>
      <c r="GM21" s="323"/>
      <c r="GN21" s="323"/>
      <c r="GO21" s="323"/>
      <c r="GP21" s="323"/>
      <c r="GQ21" s="323"/>
      <c r="GR21" s="323"/>
      <c r="GS21" s="323"/>
      <c r="GT21" s="323"/>
      <c r="GU21" s="323"/>
      <c r="GV21" s="323"/>
      <c r="GW21" s="323"/>
      <c r="GX21" s="323"/>
      <c r="GY21" s="323"/>
      <c r="GZ21" s="323"/>
      <c r="HA21" s="323"/>
      <c r="HB21" s="323"/>
      <c r="HC21" s="323"/>
      <c r="HD21" s="323"/>
      <c r="HE21" s="323"/>
      <c r="HF21" s="323"/>
      <c r="HG21" s="323"/>
      <c r="HH21" s="323"/>
      <c r="HI21" s="323"/>
      <c r="HJ21" s="323"/>
      <c r="HK21" s="323"/>
      <c r="HL21" s="323"/>
      <c r="HM21" s="323"/>
      <c r="HN21" s="323"/>
    </row>
    <row r="22" spans="1:222" ht="33.5" customHeight="1" x14ac:dyDescent="0.35">
      <c r="B22" s="1119"/>
      <c r="C22" s="1120"/>
      <c r="D22" s="1121"/>
      <c r="E22" s="1121"/>
      <c r="F22" s="1120"/>
      <c r="G22" s="1121"/>
      <c r="H22" s="1121"/>
      <c r="I22" s="1122" t="s">
        <v>801</v>
      </c>
      <c r="J22" s="1121"/>
      <c r="K22" s="1121"/>
      <c r="L22" s="1121"/>
      <c r="M22" s="1120"/>
      <c r="N22" s="1120"/>
      <c r="O22" s="1120"/>
      <c r="P22" s="1120"/>
      <c r="Q22" s="1123"/>
      <c r="R22" s="1120"/>
      <c r="S22" s="1124"/>
      <c r="V22" s="1148"/>
      <c r="W22" s="1148"/>
      <c r="X22" s="1148"/>
      <c r="Y22" s="1148"/>
      <c r="Z22" s="1148"/>
      <c r="AA22" s="1148"/>
      <c r="AB22" s="1148"/>
      <c r="AC22" s="1148"/>
      <c r="AD22" s="1148"/>
      <c r="AE22" s="323"/>
      <c r="AF22" s="323"/>
      <c r="AG22" s="323"/>
      <c r="AH22" s="323"/>
      <c r="AI22" s="323"/>
      <c r="AJ22" s="323"/>
      <c r="AK22" s="323"/>
      <c r="AL22" s="323"/>
      <c r="AM22" s="323"/>
      <c r="AN22" s="323"/>
      <c r="AO22" s="323"/>
      <c r="AP22" s="323"/>
      <c r="AQ22" s="323"/>
      <c r="AR22" s="323"/>
      <c r="AS22" s="323"/>
      <c r="AT22" s="323"/>
      <c r="AU22" s="323"/>
      <c r="AV22" s="323"/>
      <c r="AW22" s="323">
        <f>324/50*5</f>
        <v>32.400000000000006</v>
      </c>
      <c r="AX22" s="323"/>
      <c r="AY22" s="323"/>
      <c r="AZ22" s="323"/>
      <c r="BA22" s="323"/>
      <c r="BB22" s="323" t="str">
        <f>IFERROR(IF(BB16+$AZ$7&lt;=#REF!,Scenarier!BB16+$AZ$7,""),"")</f>
        <v/>
      </c>
      <c r="BC22" s="323" t="str">
        <f>IF(BB22="","",(Scenarier!$BK$41/#REF!)*$AZ$7+BC16)</f>
        <v/>
      </c>
      <c r="BD22" s="323" t="str">
        <f>IF(BB22="","",(Scenarier!$BK$42/#REF!)*$AZ$7+BD16)</f>
        <v/>
      </c>
      <c r="BE22" s="323" t="str">
        <f>IF(BB22="","",(Scenarier!$BK$40/#REF!)*$AZ$7+BE16)</f>
        <v/>
      </c>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EK22" s="1070"/>
      <c r="EL22" s="1070"/>
      <c r="EM22" s="1070"/>
      <c r="EN22" s="1070"/>
      <c r="EO22" s="1070"/>
      <c r="EP22" s="1070"/>
      <c r="EQ22" s="1070"/>
    </row>
    <row r="23" spans="1:222" ht="5.5" customHeight="1" thickBot="1" x14ac:dyDescent="0.4">
      <c r="B23" s="1125"/>
      <c r="C23" s="1126"/>
      <c r="D23" s="1126"/>
      <c r="E23" s="1126"/>
      <c r="F23" s="1126"/>
      <c r="G23" s="1126"/>
      <c r="H23" s="1126"/>
      <c r="I23" s="1127"/>
      <c r="J23" s="1126"/>
      <c r="K23" s="1126"/>
      <c r="L23" s="1126"/>
      <c r="M23" s="1126"/>
      <c r="N23" s="1128"/>
      <c r="O23" s="1128"/>
      <c r="P23" s="1129"/>
      <c r="Q23" s="1130"/>
      <c r="R23" s="1129"/>
      <c r="S23" s="1131"/>
      <c r="V23" s="1148"/>
      <c r="W23" s="1148"/>
      <c r="X23" s="1148"/>
      <c r="Y23" s="1148"/>
      <c r="Z23" s="1148"/>
      <c r="AA23" s="1148"/>
      <c r="AB23" s="1148"/>
      <c r="AC23" s="1148"/>
      <c r="AD23" s="1148"/>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Q23" s="323"/>
      <c r="BR23" s="323"/>
      <c r="BS23" s="323"/>
      <c r="BT23" s="323"/>
      <c r="BU23" s="323"/>
      <c r="BV23" s="323"/>
      <c r="BW23" s="323"/>
      <c r="BX23" s="323"/>
      <c r="BY23" s="323"/>
      <c r="BZ23" s="323"/>
      <c r="CA23" s="323"/>
      <c r="CB23" s="323"/>
      <c r="CC23" s="323"/>
      <c r="CD23" s="323"/>
      <c r="CE23" s="323"/>
      <c r="CF23" s="323"/>
      <c r="CG23" s="323"/>
      <c r="CH23" s="323"/>
      <c r="CI23" s="323"/>
      <c r="CJ23" s="323"/>
      <c r="CK23" s="323"/>
      <c r="CL23" s="323"/>
      <c r="CM23" s="323"/>
      <c r="CN23" s="323"/>
      <c r="CO23" s="323"/>
      <c r="CP23" s="323"/>
      <c r="CQ23" s="323"/>
      <c r="CR23" s="323"/>
      <c r="CS23" s="323"/>
      <c r="CT23" s="323"/>
      <c r="CU23" s="323"/>
      <c r="CV23" s="323"/>
      <c r="CW23" s="323"/>
      <c r="CX23" s="323"/>
      <c r="CY23" s="323"/>
      <c r="CZ23" s="323"/>
      <c r="EK23" s="1070"/>
      <c r="EL23" s="1070"/>
      <c r="EM23" s="1070"/>
      <c r="EN23" s="1070"/>
      <c r="EO23" s="1070"/>
      <c r="EP23" s="1070"/>
      <c r="EQ23" s="1070"/>
    </row>
    <row r="24" spans="1:222" ht="45" customHeight="1" thickBot="1" x14ac:dyDescent="1.1499999999999999">
      <c r="B24" s="1001" t="s">
        <v>816</v>
      </c>
      <c r="C24" s="1109"/>
      <c r="D24" s="1109"/>
      <c r="E24" s="1109"/>
      <c r="F24" s="1109"/>
      <c r="G24" s="1002"/>
      <c r="H24" s="983" t="s">
        <v>34</v>
      </c>
      <c r="I24" s="983"/>
      <c r="J24" s="983"/>
      <c r="K24" s="983"/>
      <c r="L24" s="983"/>
      <c r="M24" s="983"/>
      <c r="N24" s="983"/>
      <c r="O24" s="983" t="s">
        <v>1100</v>
      </c>
      <c r="P24" s="983"/>
      <c r="Q24" s="983"/>
      <c r="R24" s="983"/>
      <c r="S24" s="984"/>
      <c r="U24" s="656"/>
      <c r="V24" s="1148"/>
      <c r="W24" s="1148"/>
      <c r="X24" s="1148" t="s">
        <v>31</v>
      </c>
      <c r="Y24" s="1148">
        <v>50</v>
      </c>
      <c r="Z24" s="1148"/>
      <c r="AA24" s="1148"/>
      <c r="AB24" s="1148"/>
      <c r="AC24" s="1148"/>
      <c r="AD24" s="1148"/>
      <c r="AE24" s="323"/>
      <c r="AF24" s="323"/>
      <c r="AG24" s="323"/>
      <c r="AH24" s="323"/>
      <c r="AI24" s="323"/>
      <c r="AJ24" s="323"/>
      <c r="AK24" s="323"/>
      <c r="AL24" s="323"/>
      <c r="AM24" s="323"/>
      <c r="AN24" s="323"/>
      <c r="AO24" s="323"/>
      <c r="AP24" s="323"/>
      <c r="AQ24" s="323"/>
      <c r="AR24" s="323"/>
      <c r="AS24" s="323"/>
      <c r="AT24" s="323"/>
      <c r="AU24" s="323"/>
      <c r="AV24" s="323"/>
      <c r="AW24" s="323">
        <f>276+AW22</f>
        <v>308.39999999999998</v>
      </c>
      <c r="AX24" s="323"/>
      <c r="AY24" s="323"/>
      <c r="AZ24" s="323"/>
      <c r="BA24" s="323"/>
      <c r="BB24" s="323" t="str">
        <f>IFERROR(IF(BB22+$AZ$7&lt;=#REF!,Scenarier!BB22+$AZ$7,""),"")</f>
        <v/>
      </c>
      <c r="BC24" s="323" t="str">
        <f>IF(BB24="","",(Scenarier!$BK$41/#REF!)*$AZ$7+BC22)</f>
        <v/>
      </c>
      <c r="BD24" s="323" t="str">
        <f>IF(BB24="","",(Scenarier!$BK$42/#REF!)*$AZ$7+BD22)</f>
        <v/>
      </c>
      <c r="BE24" s="323" t="str">
        <f>IF(BB24="","",(Scenarier!$BK$40/#REF!)*$AZ$7+BE22)</f>
        <v/>
      </c>
      <c r="BF24" s="323"/>
      <c r="BG24" s="32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c r="CL24" s="323"/>
      <c r="CM24" s="323"/>
      <c r="CN24" s="323"/>
      <c r="CO24" s="323"/>
      <c r="CP24" s="323"/>
      <c r="CQ24" s="323"/>
      <c r="CR24" s="323"/>
      <c r="CS24" s="323"/>
      <c r="CT24" s="323"/>
      <c r="CU24" s="323"/>
      <c r="CV24" s="323"/>
      <c r="CW24" s="323"/>
      <c r="CX24" s="323"/>
      <c r="CY24" s="323"/>
      <c r="CZ24" s="323"/>
      <c r="EK24" s="1070"/>
      <c r="EL24" s="1070"/>
      <c r="EM24" s="1070"/>
      <c r="EN24" s="1070"/>
      <c r="EO24" s="1070"/>
      <c r="EP24" s="1070"/>
      <c r="EQ24" s="1070"/>
    </row>
    <row r="25" spans="1:222" ht="55" customHeight="1" x14ac:dyDescent="0.35">
      <c r="B25" s="1080" t="s">
        <v>1098</v>
      </c>
      <c r="C25" s="1015" t="s">
        <v>1031</v>
      </c>
      <c r="D25" s="1110"/>
      <c r="E25" s="1113" t="s">
        <v>1032</v>
      </c>
      <c r="F25" s="1114"/>
      <c r="G25" s="1091"/>
      <c r="H25" s="242"/>
      <c r="N25" s="308"/>
      <c r="O25" s="958" t="s">
        <v>4</v>
      </c>
      <c r="P25" s="959"/>
      <c r="Q25" s="960"/>
      <c r="R25" s="956" t="s">
        <v>5</v>
      </c>
      <c r="S25" s="957"/>
      <c r="U25" s="656"/>
      <c r="V25" s="1148"/>
      <c r="W25" s="1148"/>
      <c r="X25" s="1148"/>
      <c r="Y25" s="1148"/>
      <c r="Z25" s="1148"/>
      <c r="AA25" s="1148"/>
      <c r="AB25" s="1148"/>
      <c r="AC25" s="1148"/>
      <c r="AD25" s="1148"/>
      <c r="AE25" s="323"/>
      <c r="AF25" s="323"/>
      <c r="AG25" s="323"/>
      <c r="AH25" s="323"/>
      <c r="AI25" s="323"/>
      <c r="AJ25" s="323"/>
      <c r="AK25" s="323"/>
      <c r="AL25" s="323"/>
      <c r="AM25" s="323"/>
      <c r="AN25" s="323"/>
      <c r="AO25" s="323"/>
      <c r="AP25" s="323"/>
      <c r="AQ25" s="323"/>
      <c r="AR25" s="323"/>
      <c r="AS25" s="323"/>
      <c r="AT25" s="323"/>
      <c r="AU25" s="323"/>
      <c r="AV25" s="323"/>
      <c r="AW25" s="323">
        <f>308+AW22</f>
        <v>340.4</v>
      </c>
      <c r="AX25" s="323"/>
      <c r="AY25" s="323"/>
      <c r="AZ25" s="323"/>
      <c r="BA25" s="323"/>
      <c r="BB25" s="323" t="str">
        <f>IFERROR(IF(BB24+$AZ$7&lt;=#REF!,Scenarier!BB24+$AZ$7,""),"")</f>
        <v/>
      </c>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c r="CL25" s="323"/>
      <c r="CM25" s="323"/>
      <c r="CN25" s="323"/>
      <c r="CO25" s="323"/>
      <c r="CP25" s="323"/>
      <c r="CQ25" s="323"/>
      <c r="CR25" s="323"/>
      <c r="CS25" s="323"/>
      <c r="CT25" s="323"/>
      <c r="CU25" s="323"/>
      <c r="CV25" s="323"/>
      <c r="CW25" s="323"/>
      <c r="CX25" s="323"/>
      <c r="CY25" s="323"/>
      <c r="CZ25" s="323"/>
      <c r="EK25" s="1070"/>
      <c r="EL25" s="1070"/>
      <c r="EM25" s="1070"/>
      <c r="EN25" s="1070"/>
      <c r="EO25" s="1070"/>
      <c r="EP25" s="1070"/>
      <c r="EQ25" s="1070"/>
    </row>
    <row r="26" spans="1:222" ht="25" customHeight="1" x14ac:dyDescent="0.35">
      <c r="B26" s="1081" t="s">
        <v>795</v>
      </c>
      <c r="C26" s="1003" t="s">
        <v>787</v>
      </c>
      <c r="D26" s="1004"/>
      <c r="E26" s="1003" t="s">
        <v>808</v>
      </c>
      <c r="F26" s="1004"/>
      <c r="G26" s="1092"/>
      <c r="H26" s="242"/>
      <c r="N26" s="183"/>
      <c r="O26" s="974">
        <f>IF(OR(J21=0,C26="Vælg"),0,BL49)</f>
        <v>12.342302812610082</v>
      </c>
      <c r="P26" s="980"/>
      <c r="Q26" s="975"/>
      <c r="R26" s="974">
        <f>IF(OR(J21=0,E26="Vælg"),0,BL50)</f>
        <v>7.3335901884053136</v>
      </c>
      <c r="S26" s="975"/>
      <c r="V26" s="1147"/>
      <c r="W26" s="1148"/>
      <c r="X26" s="1148">
        <f>IF(E48=Y26,0,1)</f>
        <v>0</v>
      </c>
      <c r="Y26" s="1148" t="s">
        <v>771</v>
      </c>
      <c r="Z26" s="1148"/>
      <c r="AA26" s="1148"/>
      <c r="AB26" s="1148"/>
      <c r="AC26" s="1148"/>
      <c r="AD26" s="1148" t="s">
        <v>76</v>
      </c>
      <c r="AE26" s="323" t="s">
        <v>817</v>
      </c>
      <c r="AF26" s="323" t="s">
        <v>983</v>
      </c>
      <c r="AG26" s="323" t="s">
        <v>37</v>
      </c>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Q26" s="323"/>
      <c r="BR26" s="323"/>
      <c r="BS26" s="323"/>
      <c r="BT26" s="323"/>
      <c r="BU26" s="323"/>
      <c r="BV26" s="323"/>
      <c r="BW26" s="323"/>
      <c r="BX26" s="323"/>
      <c r="BY26" s="323"/>
      <c r="BZ26" s="323"/>
      <c r="CA26" s="323"/>
      <c r="CB26" s="323"/>
      <c r="CC26" s="323"/>
      <c r="CD26" s="323"/>
      <c r="CE26" s="323"/>
      <c r="CF26" s="323"/>
      <c r="CG26" s="323"/>
      <c r="CH26" s="323"/>
      <c r="CI26" s="323"/>
      <c r="CJ26" s="323"/>
      <c r="CK26" s="323"/>
      <c r="CL26" s="323"/>
      <c r="CM26" s="323"/>
      <c r="CN26" s="323"/>
      <c r="CO26" s="323"/>
      <c r="CP26" s="323"/>
      <c r="CQ26" s="323"/>
      <c r="CR26" s="323"/>
      <c r="CS26" s="323"/>
      <c r="CT26" s="323"/>
      <c r="CU26" s="323"/>
      <c r="CV26" s="323"/>
      <c r="CW26" s="323"/>
      <c r="CX26" s="323"/>
      <c r="CY26" s="323"/>
      <c r="CZ26" s="323"/>
      <c r="EK26" s="1070"/>
      <c r="EL26" s="1070"/>
      <c r="EM26" s="1070"/>
      <c r="EN26" s="1070"/>
      <c r="EO26" s="1070"/>
      <c r="EP26" s="1070"/>
      <c r="EQ26" s="1070"/>
    </row>
    <row r="27" spans="1:222" ht="25" customHeight="1" x14ac:dyDescent="0.35">
      <c r="B27" s="1082" t="s">
        <v>796</v>
      </c>
      <c r="C27" s="1111" t="s">
        <v>793</v>
      </c>
      <c r="D27" s="1112"/>
      <c r="E27" s="1115" t="s">
        <v>792</v>
      </c>
      <c r="F27" s="1114"/>
      <c r="G27" s="1093"/>
      <c r="H27" s="242"/>
      <c r="N27" s="183"/>
      <c r="O27" s="974"/>
      <c r="P27" s="980"/>
      <c r="Q27" s="975"/>
      <c r="R27" s="974"/>
      <c r="S27" s="975"/>
      <c r="V27" s="1147"/>
      <c r="W27" s="1148"/>
      <c r="X27" s="1148" t="str">
        <f t="shared" ref="X27:X33" si="3">IF(C28="Benyt Standard",$C$26,C28)</f>
        <v>Tung Konventionel</v>
      </c>
      <c r="Y27" s="1148" t="str">
        <f t="shared" ref="Y27:Y33" si="4">IF(E28="Benyt Standard",$E$26,E28)</f>
        <v>Let Lav Emission</v>
      </c>
      <c r="Z27" s="1148"/>
      <c r="AA27" s="1148" t="s">
        <v>973</v>
      </c>
      <c r="AB27" s="1148">
        <v>1.25</v>
      </c>
      <c r="AC27" s="1148"/>
      <c r="AD27" s="1148" t="s">
        <v>977</v>
      </c>
      <c r="AE27" s="323" t="s">
        <v>977</v>
      </c>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c r="CL27" s="323"/>
      <c r="CM27" s="323"/>
      <c r="CN27" s="323"/>
      <c r="CO27" s="323"/>
      <c r="CP27" s="323"/>
      <c r="CQ27" s="323"/>
      <c r="CR27" s="323"/>
      <c r="CS27" s="323"/>
      <c r="CT27" s="323"/>
      <c r="CU27" s="323"/>
      <c r="CV27" s="323"/>
      <c r="CW27" s="323"/>
      <c r="CX27" s="323"/>
      <c r="CY27" s="323"/>
      <c r="CZ27" s="323"/>
      <c r="EK27" s="1070"/>
      <c r="EL27" s="1070"/>
      <c r="EM27" s="1070"/>
      <c r="EN27" s="1070"/>
      <c r="EO27" s="1070"/>
      <c r="EP27" s="1070"/>
      <c r="EQ27" s="1070"/>
    </row>
    <row r="28" spans="1:222" ht="25" customHeight="1" x14ac:dyDescent="0.35">
      <c r="B28" s="1081" t="s">
        <v>76</v>
      </c>
      <c r="C28" s="976" t="s">
        <v>786</v>
      </c>
      <c r="D28" s="977"/>
      <c r="E28" s="976" t="s">
        <v>786</v>
      </c>
      <c r="F28" s="977"/>
      <c r="G28" s="1092"/>
      <c r="H28" s="242"/>
      <c r="N28" s="308"/>
      <c r="O28" s="974"/>
      <c r="P28" s="980"/>
      <c r="Q28" s="975"/>
      <c r="R28" s="974"/>
      <c r="S28" s="975"/>
      <c r="V28" s="1147"/>
      <c r="W28" s="1148"/>
      <c r="X28" s="1148" t="str">
        <f t="shared" si="3"/>
        <v>Tung Konventionel</v>
      </c>
      <c r="Y28" s="1148" t="str">
        <f t="shared" si="4"/>
        <v>Let Lav Emission</v>
      </c>
      <c r="Z28" s="1148"/>
      <c r="AA28" s="1148" t="s">
        <v>974</v>
      </c>
      <c r="AB28" s="1148">
        <v>1</v>
      </c>
      <c r="AC28" s="1148"/>
      <c r="AD28" s="1148">
        <f>IF(I21&gt;5,1.5,1)</f>
        <v>1</v>
      </c>
      <c r="AE28" s="323">
        <f>IF(I21&gt;5,1.5,1)</f>
        <v>1</v>
      </c>
      <c r="AF28" s="323">
        <f>IF(I21&gt;5,1.5,1)</f>
        <v>1</v>
      </c>
      <c r="AG28" s="323">
        <f>IF(I21&gt;5,1.5,1)</f>
        <v>1</v>
      </c>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EK28" s="1070"/>
      <c r="EL28" s="1070"/>
      <c r="EM28" s="1070"/>
      <c r="EN28" s="1070"/>
      <c r="EO28" s="1070"/>
      <c r="EP28" s="1070"/>
      <c r="EQ28" s="1070"/>
    </row>
    <row r="29" spans="1:222" ht="25" customHeight="1" x14ac:dyDescent="0.35">
      <c r="B29" s="1081" t="s">
        <v>114</v>
      </c>
      <c r="C29" s="976" t="s">
        <v>786</v>
      </c>
      <c r="D29" s="977"/>
      <c r="E29" s="976" t="s">
        <v>786</v>
      </c>
      <c r="F29" s="977"/>
      <c r="G29" s="1094"/>
      <c r="H29" s="242"/>
      <c r="N29" s="183"/>
      <c r="O29" s="969" t="s">
        <v>972</v>
      </c>
      <c r="P29" s="970"/>
      <c r="Q29" s="971"/>
      <c r="R29" s="972" t="s">
        <v>972</v>
      </c>
      <c r="S29" s="973"/>
      <c r="V29" s="1147"/>
      <c r="W29" s="1148"/>
      <c r="X29" s="1148" t="str">
        <f t="shared" si="3"/>
        <v>Tung Konventionel</v>
      </c>
      <c r="Y29" s="1148" t="str">
        <f t="shared" si="4"/>
        <v>Let Lav Emission</v>
      </c>
      <c r="Z29" s="1148"/>
      <c r="AA29" s="1148"/>
      <c r="AB29" s="1148"/>
      <c r="AC29" s="1148"/>
      <c r="AD29" s="1148"/>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c r="BN29" s="323"/>
      <c r="BO29" s="323"/>
      <c r="BP29" s="323"/>
      <c r="BQ29" s="323"/>
      <c r="BR29" s="323"/>
      <c r="BS29" s="323"/>
      <c r="BT29" s="323"/>
      <c r="BU29" s="323"/>
      <c r="BV29" s="323"/>
      <c r="BW29" s="323"/>
      <c r="BX29" s="323"/>
      <c r="BY29" s="323"/>
      <c r="BZ29" s="323"/>
      <c r="CA29" s="323"/>
      <c r="CB29" s="323"/>
      <c r="CC29" s="323"/>
      <c r="CD29" s="323"/>
      <c r="CE29" s="323"/>
      <c r="CF29" s="323"/>
      <c r="CG29" s="323"/>
      <c r="CH29" s="323"/>
      <c r="CI29" s="323"/>
      <c r="CJ29" s="323"/>
      <c r="CK29" s="323"/>
      <c r="CL29" s="323"/>
      <c r="CM29" s="323"/>
      <c r="CN29" s="323"/>
      <c r="CO29" s="323"/>
      <c r="CP29" s="323"/>
      <c r="CQ29" s="323"/>
      <c r="CR29" s="323"/>
      <c r="CS29" s="323"/>
      <c r="CT29" s="323"/>
      <c r="CU29" s="323"/>
      <c r="CV29" s="323"/>
      <c r="CW29" s="323"/>
      <c r="CX29" s="323"/>
      <c r="CY29" s="323"/>
      <c r="CZ29" s="323"/>
      <c r="EK29" s="1070"/>
      <c r="EL29" s="1070"/>
      <c r="EM29" s="1070"/>
      <c r="EN29" s="1070"/>
      <c r="EO29" s="1070"/>
      <c r="EP29" s="1070"/>
      <c r="EQ29" s="1070"/>
    </row>
    <row r="30" spans="1:222" ht="25" customHeight="1" x14ac:dyDescent="0.35">
      <c r="B30" s="1081" t="s">
        <v>36</v>
      </c>
      <c r="C30" s="976" t="s">
        <v>786</v>
      </c>
      <c r="D30" s="977"/>
      <c r="E30" s="976" t="s">
        <v>786</v>
      </c>
      <c r="F30" s="977"/>
      <c r="G30" s="1092"/>
      <c r="H30" s="242"/>
      <c r="N30" s="308"/>
      <c r="O30" s="882" t="s">
        <v>1101</v>
      </c>
      <c r="P30" s="883"/>
      <c r="Q30" s="883"/>
      <c r="R30" s="883"/>
      <c r="S30" s="884"/>
      <c r="V30" s="1147"/>
      <c r="W30" s="1148"/>
      <c r="X30" s="1148" t="str">
        <f t="shared" si="3"/>
        <v>Tung Konventionel</v>
      </c>
      <c r="Y30" s="1148" t="str">
        <f t="shared" si="4"/>
        <v>Let Lav Emission</v>
      </c>
      <c r="Z30" s="1148"/>
      <c r="AA30" s="1148"/>
      <c r="AB30" s="1148"/>
      <c r="AC30" s="1148"/>
      <c r="AD30" s="1148"/>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323"/>
      <c r="CB30" s="323"/>
      <c r="CC30" s="323"/>
      <c r="CD30" s="323"/>
      <c r="CE30" s="323"/>
      <c r="CF30" s="323"/>
      <c r="CG30" s="323"/>
      <c r="CH30" s="323"/>
      <c r="CI30" s="323"/>
      <c r="CJ30" s="323"/>
      <c r="CK30" s="323"/>
      <c r="CL30" s="323"/>
      <c r="CM30" s="323"/>
      <c r="CN30" s="323"/>
      <c r="CO30" s="323"/>
      <c r="CP30" s="323"/>
      <c r="CQ30" s="323"/>
      <c r="CR30" s="323"/>
      <c r="CS30" s="323"/>
      <c r="CT30" s="323"/>
      <c r="CU30" s="323"/>
      <c r="CV30" s="323"/>
      <c r="CW30" s="323"/>
      <c r="CX30" s="323"/>
      <c r="CY30" s="323"/>
      <c r="CZ30" s="323"/>
      <c r="EK30" s="1070"/>
      <c r="EL30" s="1070"/>
      <c r="EM30" s="1070"/>
      <c r="EN30" s="1070"/>
      <c r="EO30" s="1070"/>
      <c r="EP30" s="1070"/>
      <c r="EQ30" s="1070"/>
    </row>
    <row r="31" spans="1:222" ht="25" customHeight="1" x14ac:dyDescent="0.35">
      <c r="B31" s="1081" t="s">
        <v>817</v>
      </c>
      <c r="C31" s="976" t="s">
        <v>786</v>
      </c>
      <c r="D31" s="977"/>
      <c r="E31" s="976" t="s">
        <v>786</v>
      </c>
      <c r="F31" s="977"/>
      <c r="G31" s="1092"/>
      <c r="H31" s="242"/>
      <c r="N31" s="183"/>
      <c r="O31" s="882"/>
      <c r="P31" s="883"/>
      <c r="Q31" s="883"/>
      <c r="R31" s="883"/>
      <c r="S31" s="884"/>
      <c r="V31" s="1147"/>
      <c r="W31" s="1148"/>
      <c r="X31" s="1148" t="str">
        <f t="shared" si="3"/>
        <v>Tung Konventionel</v>
      </c>
      <c r="Y31" s="1148" t="str">
        <f t="shared" si="4"/>
        <v>Let Lav Emission</v>
      </c>
      <c r="Z31" s="1148"/>
      <c r="AA31" s="1148"/>
      <c r="AB31" s="1148"/>
      <c r="AC31" s="1148"/>
      <c r="AD31" s="1148"/>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3"/>
      <c r="BQ31" s="323"/>
      <c r="BR31" s="323"/>
      <c r="BS31" s="323"/>
      <c r="BT31" s="323"/>
      <c r="BU31" s="323"/>
      <c r="BV31" s="323"/>
      <c r="BW31" s="323"/>
      <c r="BX31" s="323"/>
      <c r="BY31" s="323"/>
      <c r="BZ31" s="323"/>
      <c r="CA31" s="323"/>
      <c r="CB31" s="323"/>
      <c r="CC31" s="323"/>
      <c r="CD31" s="323"/>
      <c r="CE31" s="323"/>
      <c r="CF31" s="323"/>
      <c r="CG31" s="323"/>
      <c r="CH31" s="323"/>
      <c r="CI31" s="323"/>
      <c r="CJ31" s="323"/>
      <c r="CK31" s="323"/>
      <c r="CL31" s="323"/>
      <c r="CM31" s="323"/>
      <c r="CN31" s="323"/>
      <c r="CO31" s="323"/>
      <c r="CP31" s="323"/>
      <c r="CQ31" s="323"/>
      <c r="CR31" s="323"/>
      <c r="CS31" s="323"/>
      <c r="CT31" s="323"/>
      <c r="CU31" s="323"/>
      <c r="CV31" s="323"/>
      <c r="CW31" s="323"/>
      <c r="CX31" s="323"/>
      <c r="CY31" s="323"/>
      <c r="CZ31" s="323"/>
      <c r="EK31" s="1070"/>
      <c r="EL31" s="1070"/>
      <c r="EM31" s="1070"/>
      <c r="EN31" s="1070"/>
      <c r="EO31" s="1070"/>
      <c r="EP31" s="1070"/>
      <c r="EQ31" s="1070"/>
    </row>
    <row r="32" spans="1:222" ht="25" customHeight="1" x14ac:dyDescent="0.35">
      <c r="B32" s="1081" t="s">
        <v>784</v>
      </c>
      <c r="C32" s="976" t="s">
        <v>786</v>
      </c>
      <c r="D32" s="977"/>
      <c r="E32" s="976" t="s">
        <v>786</v>
      </c>
      <c r="F32" s="977"/>
      <c r="G32" s="1092"/>
      <c r="H32" s="242"/>
      <c r="N32" s="308"/>
      <c r="O32" s="896" t="s">
        <v>4</v>
      </c>
      <c r="P32" s="897"/>
      <c r="Q32" s="898"/>
      <c r="R32" s="899" t="s">
        <v>5</v>
      </c>
      <c r="S32" s="900"/>
      <c r="V32" s="1147"/>
      <c r="W32" s="1148"/>
      <c r="X32" s="1148" t="str">
        <f t="shared" si="3"/>
        <v>Tung Konventionel</v>
      </c>
      <c r="Y32" s="1148" t="str">
        <f t="shared" si="4"/>
        <v>Let Lav Emission</v>
      </c>
      <c r="Z32" s="1148"/>
      <c r="AA32" s="1148" t="s">
        <v>805</v>
      </c>
      <c r="AB32" s="1148" t="s">
        <v>981</v>
      </c>
      <c r="AC32" s="1148" t="s">
        <v>775</v>
      </c>
      <c r="AD32" s="1148" t="s">
        <v>982</v>
      </c>
      <c r="AE32" s="323" t="s">
        <v>41</v>
      </c>
      <c r="AF32" s="323" t="s">
        <v>42</v>
      </c>
      <c r="AG32" s="323" t="s">
        <v>33</v>
      </c>
      <c r="AH32" s="323" t="s">
        <v>35</v>
      </c>
      <c r="AI32" s="323" t="s">
        <v>817</v>
      </c>
      <c r="AJ32" s="323" t="s">
        <v>36</v>
      </c>
      <c r="AK32" s="323" t="s">
        <v>37</v>
      </c>
      <c r="AL32" s="323" t="s">
        <v>39</v>
      </c>
      <c r="AM32" s="323" t="s">
        <v>760</v>
      </c>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3"/>
      <c r="BS32" s="323"/>
      <c r="BT32" s="323"/>
      <c r="BU32" s="323"/>
      <c r="BV32" s="323"/>
      <c r="BW32" s="323"/>
      <c r="BX32" s="323"/>
      <c r="BY32" s="323"/>
      <c r="BZ32" s="323"/>
      <c r="CA32" s="323"/>
      <c r="CB32" s="323"/>
      <c r="CC32" s="323"/>
      <c r="CD32" s="323"/>
      <c r="CE32" s="323"/>
      <c r="CF32" s="323"/>
      <c r="CG32" s="323"/>
      <c r="CH32" s="323"/>
      <c r="CI32" s="323"/>
      <c r="CJ32" s="323"/>
      <c r="CK32" s="323"/>
      <c r="CL32" s="323"/>
      <c r="CM32" s="323"/>
      <c r="CN32" s="323"/>
      <c r="CO32" s="323"/>
      <c r="CP32" s="323"/>
      <c r="CQ32" s="323"/>
      <c r="CR32" s="323"/>
      <c r="CS32" s="323"/>
      <c r="CT32" s="323"/>
      <c r="CU32" s="323"/>
      <c r="CV32" s="323"/>
      <c r="CW32" s="323"/>
      <c r="CX32" s="323"/>
      <c r="CY32" s="323"/>
      <c r="CZ32" s="323"/>
      <c r="EK32" s="1070"/>
      <c r="EL32" s="1070"/>
      <c r="EM32" s="1070"/>
      <c r="EN32" s="1070"/>
      <c r="EO32" s="1070"/>
      <c r="EP32" s="1070"/>
      <c r="EQ32" s="1070"/>
    </row>
    <row r="33" spans="2:147" ht="25" customHeight="1" x14ac:dyDescent="0.35">
      <c r="B33" s="1081" t="s">
        <v>41</v>
      </c>
      <c r="C33" s="976" t="s">
        <v>786</v>
      </c>
      <c r="D33" s="977"/>
      <c r="E33" s="976" t="s">
        <v>786</v>
      </c>
      <c r="F33" s="977"/>
      <c r="G33" s="1092"/>
      <c r="H33" s="242"/>
      <c r="N33" s="308"/>
      <c r="O33" s="896"/>
      <c r="P33" s="897"/>
      <c r="Q33" s="898"/>
      <c r="R33" s="899"/>
      <c r="S33" s="900"/>
      <c r="V33" s="1147"/>
      <c r="W33" s="1148"/>
      <c r="X33" s="1148" t="str">
        <f t="shared" si="3"/>
        <v>3 lags energirude</v>
      </c>
      <c r="Y33" s="1148" t="str">
        <f t="shared" si="4"/>
        <v>3 lags energirude</v>
      </c>
      <c r="Z33" s="1148"/>
      <c r="AA33" s="1148" t="s">
        <v>32</v>
      </c>
      <c r="AB33" s="1148">
        <f>'Baggrund data'!B364*J21</f>
        <v>2200000</v>
      </c>
      <c r="AC33" s="1148" t="e">
        <f>AJ452*AB27*AB28</f>
        <v>#N/A</v>
      </c>
      <c r="AD33" s="1148">
        <f>'Baggrund data'!B363*J21</f>
        <v>800000</v>
      </c>
      <c r="AE33" s="323">
        <f>$AJ$395*AB27*AB28*AF28</f>
        <v>577466.875</v>
      </c>
      <c r="AF33" s="323">
        <f>AJ532*AB27</f>
        <v>4000000</v>
      </c>
      <c r="AG33" s="323">
        <f>$AJ$66*AD28*AB27*AB28*AD28</f>
        <v>1099072.2600000002</v>
      </c>
      <c r="AH33" s="323">
        <f>$AJ$132*AB27*AB28*AD28</f>
        <v>639352.5</v>
      </c>
      <c r="AI33" s="323">
        <f>AJ262*AE28*AB27*AB28</f>
        <v>286764.375375</v>
      </c>
      <c r="AJ33" s="323">
        <f>$AJ$193*AB27*AB28</f>
        <v>538843.75</v>
      </c>
      <c r="AK33" s="323">
        <f>$AJ$274*AB27*AB28*AG28</f>
        <v>398575.98</v>
      </c>
      <c r="AL33" s="323">
        <f>AJ335*AB27*AB28</f>
        <v>398085.68999999994</v>
      </c>
      <c r="AM33" s="323" t="e">
        <f>SUM(AB33:AL33)</f>
        <v>#N/A</v>
      </c>
      <c r="AN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3"/>
      <c r="CI33" s="323"/>
      <c r="CJ33" s="323"/>
      <c r="CK33" s="323"/>
      <c r="CL33" s="323"/>
      <c r="CM33" s="323"/>
      <c r="CN33" s="323"/>
      <c r="CO33" s="323"/>
      <c r="CP33" s="323"/>
      <c r="CQ33" s="323"/>
      <c r="CR33" s="323"/>
      <c r="CS33" s="323"/>
      <c r="CT33" s="323"/>
      <c r="CU33" s="323"/>
      <c r="CV33" s="323"/>
      <c r="CW33" s="323"/>
      <c r="CX33" s="323"/>
      <c r="CY33" s="323"/>
      <c r="CZ33" s="323"/>
      <c r="EK33" s="1070"/>
      <c r="EL33" s="1070"/>
      <c r="EM33" s="1070"/>
      <c r="EN33" s="1070"/>
      <c r="EO33" s="1070"/>
      <c r="EP33" s="1070"/>
      <c r="EQ33" s="1070"/>
    </row>
    <row r="34" spans="2:147" ht="25" customHeight="1" x14ac:dyDescent="0.35">
      <c r="B34" s="1081" t="s">
        <v>791</v>
      </c>
      <c r="C34" s="978" t="s">
        <v>348</v>
      </c>
      <c r="D34" s="979"/>
      <c r="E34" s="978" t="s">
        <v>348</v>
      </c>
      <c r="F34" s="979"/>
      <c r="G34" s="1092"/>
      <c r="H34" s="242"/>
      <c r="N34" s="308"/>
      <c r="O34" s="963">
        <f>IF(OR(J21=0,C26="Vælg"),0,AA71)</f>
        <v>183971.14802135967</v>
      </c>
      <c r="P34" s="964"/>
      <c r="Q34" s="965"/>
      <c r="R34" s="963">
        <f>IF(OR(J21=0,E26="Vælg"),0,AB71)</f>
        <v>83796.895537264238</v>
      </c>
      <c r="S34" s="965"/>
      <c r="V34" s="1147"/>
      <c r="W34" s="1148"/>
      <c r="X34" s="1148"/>
      <c r="Y34" s="1148"/>
      <c r="Z34" s="1148"/>
      <c r="AA34" s="1148" t="s">
        <v>5</v>
      </c>
      <c r="AB34" s="1148">
        <f>'Baggrund data'!B364*J21</f>
        <v>2200000</v>
      </c>
      <c r="AC34" s="1148" t="e">
        <f>AK452*AB27*AB28</f>
        <v>#N/A</v>
      </c>
      <c r="AD34" s="1148">
        <f>'Baggrund data'!B363*J21</f>
        <v>800000</v>
      </c>
      <c r="AE34" s="323">
        <f>AK395*AB27*AB28*AF28</f>
        <v>624023.92857142852</v>
      </c>
      <c r="AF34" s="323">
        <f>AJ532*AB27</f>
        <v>4000000</v>
      </c>
      <c r="AG34" s="323">
        <f>$AK$66*AD28*AB27*AB28*AD28</f>
        <v>1653266.6614285714</v>
      </c>
      <c r="AH34" s="323">
        <f>AK132*AB27*AB28*AD28</f>
        <v>588077.14285714296</v>
      </c>
      <c r="AI34" s="323">
        <f>AK262*AE28*AB27*AB28</f>
        <v>255076.79175000003</v>
      </c>
      <c r="AJ34" s="323">
        <f>AK193*AB27*AB28</f>
        <v>792468.57142857148</v>
      </c>
      <c r="AK34" s="323">
        <f>AK274*AB27*AB28*AG28</f>
        <v>398575.98</v>
      </c>
      <c r="AL34" s="323">
        <f>AK335*AB27*AB28</f>
        <v>401381.14285714284</v>
      </c>
      <c r="AM34" s="323" t="e">
        <f>SUM(AB34:AL34)</f>
        <v>#N/A</v>
      </c>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323"/>
      <c r="CB34" s="323"/>
      <c r="CC34" s="323"/>
      <c r="CD34" s="323"/>
      <c r="CE34" s="323"/>
      <c r="CF34" s="323"/>
      <c r="CG34" s="323"/>
      <c r="CH34" s="323"/>
      <c r="CI34" s="323"/>
      <c r="CJ34" s="323"/>
      <c r="CK34" s="323"/>
      <c r="CL34" s="323"/>
      <c r="CM34" s="323"/>
      <c r="CN34" s="323"/>
      <c r="CO34" s="323"/>
      <c r="CP34" s="323"/>
      <c r="CQ34" s="323"/>
      <c r="CR34" s="323"/>
      <c r="CS34" s="323"/>
      <c r="CT34" s="323"/>
      <c r="CU34" s="323"/>
      <c r="CV34" s="323"/>
      <c r="CW34" s="323"/>
      <c r="CX34" s="323"/>
      <c r="CY34" s="323"/>
      <c r="CZ34" s="323"/>
      <c r="EK34" s="1070"/>
      <c r="EL34" s="1070"/>
      <c r="EM34" s="1070"/>
      <c r="EN34" s="1070"/>
      <c r="EO34" s="1070"/>
      <c r="EP34" s="1070"/>
      <c r="EQ34" s="1070"/>
    </row>
    <row r="35" spans="2:147" ht="25" customHeight="1" x14ac:dyDescent="0.35">
      <c r="B35" s="1081" t="s">
        <v>794</v>
      </c>
      <c r="C35" s="1003" t="s">
        <v>350</v>
      </c>
      <c r="D35" s="1004"/>
      <c r="E35" s="915" t="s">
        <v>350</v>
      </c>
      <c r="F35" s="915"/>
      <c r="G35" s="1092"/>
      <c r="H35" s="242"/>
      <c r="N35" s="308"/>
      <c r="O35" s="963"/>
      <c r="P35" s="964"/>
      <c r="Q35" s="965"/>
      <c r="R35" s="963"/>
      <c r="S35" s="965"/>
      <c r="V35" s="1147"/>
      <c r="W35" s="1148"/>
      <c r="X35" s="1148"/>
      <c r="Y35" s="1148"/>
      <c r="Z35" s="1148"/>
      <c r="AA35" s="1148"/>
      <c r="AB35" s="1148"/>
      <c r="AC35" s="1148"/>
      <c r="AD35" s="1148"/>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c r="CL35" s="323"/>
      <c r="CM35" s="323"/>
      <c r="CN35" s="323"/>
      <c r="CO35" s="323"/>
      <c r="CP35" s="323"/>
      <c r="CQ35" s="323"/>
      <c r="CR35" s="323"/>
      <c r="CS35" s="323"/>
      <c r="CT35" s="323"/>
      <c r="CU35" s="323"/>
      <c r="CV35" s="323"/>
      <c r="CW35" s="323"/>
      <c r="CX35" s="323"/>
      <c r="CY35" s="323"/>
      <c r="CZ35" s="323"/>
      <c r="EK35" s="1070"/>
      <c r="EL35" s="1070"/>
      <c r="EM35" s="1070"/>
      <c r="EN35" s="1070"/>
      <c r="EO35" s="1070"/>
      <c r="EP35" s="1070"/>
      <c r="EQ35" s="1070"/>
    </row>
    <row r="36" spans="2:147" ht="25" customHeight="1" x14ac:dyDescent="0.35">
      <c r="B36" s="1081" t="s">
        <v>1026</v>
      </c>
      <c r="C36" s="926" t="str">
        <f>$F$509</f>
        <v>Etableres ikke</v>
      </c>
      <c r="D36" s="927"/>
      <c r="E36" s="924" t="str">
        <f>$K$509</f>
        <v>Etableres ikke</v>
      </c>
      <c r="F36" s="925"/>
      <c r="G36" s="1092"/>
      <c r="H36" s="242"/>
      <c r="J36" s="174"/>
      <c r="K36" s="174"/>
      <c r="N36" s="308"/>
      <c r="O36" s="966" t="s">
        <v>876</v>
      </c>
      <c r="P36" s="967"/>
      <c r="Q36" s="968"/>
      <c r="R36" s="961" t="s">
        <v>876</v>
      </c>
      <c r="S36" s="962"/>
      <c r="V36" s="1147"/>
      <c r="W36" s="1148"/>
      <c r="X36" s="1148"/>
      <c r="Y36" s="1148" t="s">
        <v>32</v>
      </c>
      <c r="Z36" s="1148" t="s">
        <v>5</v>
      </c>
      <c r="AA36" s="1148"/>
      <c r="AB36" s="1148"/>
      <c r="AC36" s="1148"/>
      <c r="AD36" s="1148"/>
      <c r="AE36" s="323">
        <f>$AK$66</f>
        <v>1322613.3291428571</v>
      </c>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323"/>
      <c r="CB36" s="323"/>
      <c r="CC36" s="323"/>
      <c r="CD36" s="323"/>
      <c r="CE36" s="323"/>
      <c r="CF36" s="323"/>
      <c r="CG36" s="323"/>
      <c r="CH36" s="323"/>
      <c r="CI36" s="323"/>
      <c r="CJ36" s="323"/>
      <c r="CK36" s="323"/>
      <c r="CL36" s="323"/>
      <c r="CM36" s="323"/>
      <c r="CN36" s="323"/>
      <c r="CO36" s="323"/>
      <c r="CP36" s="323"/>
      <c r="CQ36" s="323"/>
      <c r="CR36" s="323"/>
      <c r="CS36" s="323"/>
      <c r="CT36" s="323"/>
      <c r="CU36" s="323"/>
      <c r="CV36" s="323"/>
      <c r="CW36" s="323"/>
      <c r="CX36" s="323"/>
      <c r="CY36" s="323"/>
      <c r="CZ36" s="323"/>
      <c r="EK36" s="1070"/>
      <c r="EL36" s="1070"/>
      <c r="EM36" s="1070"/>
      <c r="EN36" s="1070"/>
      <c r="EO36" s="1070"/>
      <c r="EP36" s="1070"/>
      <c r="EQ36" s="1070"/>
    </row>
    <row r="37" spans="2:147" ht="7.5" customHeight="1" thickBot="1" x14ac:dyDescent="0.4">
      <c r="B37" s="1081"/>
      <c r="C37" s="1101"/>
      <c r="D37" s="1101"/>
      <c r="E37" s="1101"/>
      <c r="F37" s="1101"/>
      <c r="G37" s="1092"/>
      <c r="H37" s="242"/>
      <c r="J37" s="174"/>
      <c r="K37" s="174"/>
      <c r="N37" s="308"/>
      <c r="O37" s="533"/>
      <c r="P37" s="534"/>
      <c r="Q37" s="534"/>
      <c r="R37" s="961"/>
      <c r="S37" s="962"/>
      <c r="V37" s="1147"/>
      <c r="W37" s="1148"/>
      <c r="X37" s="1148"/>
      <c r="Y37" s="1148"/>
      <c r="Z37" s="1148"/>
      <c r="AA37" s="1148"/>
      <c r="AB37" s="1148"/>
      <c r="AC37" s="1148"/>
      <c r="AD37" s="1148"/>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c r="BN37" s="323"/>
      <c r="BO37" s="323"/>
      <c r="BP37" s="323"/>
      <c r="BQ37" s="323"/>
      <c r="BR37" s="323"/>
      <c r="BS37" s="323"/>
      <c r="BT37" s="323"/>
      <c r="BU37" s="323"/>
      <c r="BV37" s="323"/>
      <c r="BW37" s="323"/>
      <c r="BX37" s="323"/>
      <c r="BY37" s="323"/>
      <c r="BZ37" s="323"/>
      <c r="CA37" s="323"/>
      <c r="CB37" s="323"/>
      <c r="CC37" s="323"/>
      <c r="CD37" s="323"/>
      <c r="CE37" s="323"/>
      <c r="CF37" s="323"/>
      <c r="CG37" s="323"/>
      <c r="CH37" s="323"/>
      <c r="CI37" s="323"/>
      <c r="CJ37" s="323"/>
      <c r="CK37" s="323"/>
      <c r="CL37" s="323"/>
      <c r="CM37" s="323"/>
      <c r="CN37" s="323"/>
      <c r="CO37" s="323"/>
      <c r="CP37" s="323"/>
      <c r="CQ37" s="323"/>
      <c r="CR37" s="323"/>
      <c r="CS37" s="323"/>
      <c r="CT37" s="323"/>
      <c r="CU37" s="323"/>
      <c r="CV37" s="323"/>
      <c r="CW37" s="323"/>
      <c r="CX37" s="323"/>
      <c r="CY37" s="323"/>
      <c r="CZ37" s="323"/>
      <c r="EK37" s="1070"/>
      <c r="EL37" s="1070"/>
      <c r="EM37" s="1070"/>
      <c r="EN37" s="1070"/>
      <c r="EO37" s="1070"/>
      <c r="EP37" s="1070"/>
      <c r="EQ37" s="1070"/>
    </row>
    <row r="38" spans="2:147" ht="25" customHeight="1" x14ac:dyDescent="0.35">
      <c r="B38" s="1083" t="s">
        <v>728</v>
      </c>
      <c r="C38" s="1086" t="s">
        <v>838</v>
      </c>
      <c r="D38" s="1086"/>
      <c r="E38" s="1102" t="s">
        <v>789</v>
      </c>
      <c r="F38" s="1102"/>
      <c r="G38" s="1095"/>
      <c r="H38" s="306"/>
      <c r="I38" s="307"/>
      <c r="J38" s="307"/>
      <c r="K38" s="307"/>
      <c r="L38" s="307"/>
      <c r="M38" s="307"/>
      <c r="N38" s="327"/>
      <c r="O38" s="882" t="s">
        <v>987</v>
      </c>
      <c r="P38" s="883"/>
      <c r="Q38" s="883"/>
      <c r="R38" s="883"/>
      <c r="S38" s="884"/>
      <c r="V38" s="1147"/>
      <c r="W38" s="1148"/>
      <c r="X38" s="1148" t="s">
        <v>33</v>
      </c>
      <c r="Y38" s="1148">
        <f t="shared" ref="Y38:Z40" si="5">SUM(AA61)/$J$21/$Y$24</f>
        <v>1.8966298932465466</v>
      </c>
      <c r="Z38" s="1148">
        <f t="shared" si="5"/>
        <v>0.26577153559155792</v>
      </c>
      <c r="AA38" s="1148"/>
      <c r="AB38" s="1148"/>
      <c r="AC38" s="1148"/>
      <c r="AD38" s="1148"/>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c r="BN38" s="323"/>
      <c r="BO38" s="323"/>
      <c r="BP38" s="323"/>
      <c r="BQ38" s="323"/>
      <c r="BR38" s="323"/>
      <c r="BS38" s="323"/>
      <c r="BT38" s="323"/>
      <c r="BU38" s="323"/>
      <c r="BV38" s="323"/>
      <c r="BW38" s="323"/>
      <c r="BX38" s="323"/>
      <c r="BY38" s="323"/>
      <c r="BZ38" s="323"/>
      <c r="CA38" s="323"/>
      <c r="CB38" s="323"/>
      <c r="CC38" s="323"/>
      <c r="CD38" s="323"/>
      <c r="CE38" s="323"/>
      <c r="CF38" s="323"/>
      <c r="CG38" s="323"/>
      <c r="CH38" s="323"/>
      <c r="CI38" s="323"/>
      <c r="CJ38" s="323"/>
      <c r="CK38" s="323"/>
      <c r="CL38" s="323"/>
      <c r="CM38" s="323"/>
      <c r="CN38" s="323"/>
      <c r="CO38" s="323"/>
      <c r="CP38" s="323"/>
      <c r="CQ38" s="323"/>
      <c r="CR38" s="323"/>
      <c r="CS38" s="323"/>
      <c r="CT38" s="323"/>
      <c r="CU38" s="323"/>
      <c r="CV38" s="323"/>
      <c r="CW38" s="323"/>
      <c r="CX38" s="323"/>
      <c r="CY38" s="323"/>
      <c r="CZ38" s="323"/>
      <c r="EK38" s="1070"/>
      <c r="EL38" s="1070"/>
      <c r="EM38" s="1070"/>
      <c r="EN38" s="1070"/>
      <c r="EO38" s="1070"/>
      <c r="EP38" s="1070"/>
      <c r="EQ38" s="1070"/>
    </row>
    <row r="39" spans="2:147" ht="25" customHeight="1" x14ac:dyDescent="0.35">
      <c r="B39" s="1084" t="s">
        <v>829</v>
      </c>
      <c r="C39" s="1087">
        <f>IF(F39="Ja",E39,AH7)</f>
        <v>10</v>
      </c>
      <c r="D39" s="1087"/>
      <c r="E39" s="329">
        <v>12</v>
      </c>
      <c r="F39" s="302" t="s">
        <v>771</v>
      </c>
      <c r="G39" s="1096"/>
      <c r="H39" s="242"/>
      <c r="N39" s="183"/>
      <c r="O39" s="882"/>
      <c r="P39" s="883"/>
      <c r="Q39" s="883"/>
      <c r="R39" s="883"/>
      <c r="S39" s="884"/>
      <c r="V39" s="1147"/>
      <c r="W39" s="1148"/>
      <c r="X39" s="1148" t="s">
        <v>35</v>
      </c>
      <c r="Y39" s="1148">
        <f t="shared" si="5"/>
        <v>1.0322537545784618</v>
      </c>
      <c r="Z39" s="1148">
        <f t="shared" si="5"/>
        <v>0.28639657637966115</v>
      </c>
      <c r="AA39" s="1148"/>
      <c r="AB39" s="1148"/>
      <c r="AC39" s="1148"/>
      <c r="AD39" s="1148"/>
      <c r="AE39" s="323"/>
      <c r="AF39" s="323"/>
      <c r="AG39" s="323"/>
      <c r="AH39" s="323"/>
      <c r="AI39" s="323"/>
      <c r="AJ39" s="323"/>
      <c r="AK39" s="323"/>
      <c r="AL39" s="323"/>
      <c r="AM39" s="323"/>
      <c r="AN39" s="323"/>
      <c r="AO39" s="323"/>
      <c r="AP39" s="323"/>
      <c r="AQ39" s="323"/>
      <c r="AR39" s="323"/>
      <c r="AS39" s="323"/>
      <c r="AT39" s="323"/>
      <c r="AU39" s="323"/>
      <c r="AV39" s="323"/>
      <c r="AW39" s="323">
        <f>12*1000*50/1000</f>
        <v>600</v>
      </c>
      <c r="AX39" s="323"/>
      <c r="AY39" s="323"/>
      <c r="AZ39" s="323"/>
      <c r="BA39" s="323"/>
      <c r="BB39" s="323"/>
      <c r="BC39" s="323"/>
      <c r="BD39" s="323"/>
      <c r="BE39" s="323"/>
      <c r="BF39" s="323"/>
      <c r="BG39" s="323"/>
      <c r="BH39" s="323"/>
      <c r="BI39" s="323" t="s">
        <v>6</v>
      </c>
      <c r="BJ39" s="323" t="s">
        <v>7</v>
      </c>
      <c r="BK39" s="323" t="s">
        <v>17</v>
      </c>
      <c r="BL39" s="323"/>
      <c r="BM39" s="323"/>
      <c r="BN39" s="323"/>
      <c r="BO39" s="323"/>
      <c r="BP39" s="323"/>
      <c r="BQ39" s="323"/>
      <c r="BR39" s="323"/>
      <c r="BS39" s="323"/>
      <c r="BT39" s="323"/>
      <c r="BU39" s="323"/>
      <c r="BV39" s="323"/>
      <c r="BW39" s="323"/>
      <c r="BX39" s="323"/>
      <c r="BY39" s="323"/>
      <c r="BZ39" s="323"/>
      <c r="CA39" s="323"/>
      <c r="CB39" s="323"/>
      <c r="CC39" s="323"/>
      <c r="CD39" s="323"/>
      <c r="CE39" s="323"/>
      <c r="CF39" s="323"/>
      <c r="CG39" s="323"/>
      <c r="CH39" s="323"/>
      <c r="CI39" s="323"/>
      <c r="CJ39" s="323"/>
      <c r="CK39" s="323"/>
      <c r="CL39" s="323"/>
      <c r="CM39" s="323"/>
      <c r="CN39" s="323"/>
      <c r="CO39" s="323"/>
      <c r="CP39" s="323"/>
      <c r="CQ39" s="323"/>
      <c r="CR39" s="323"/>
      <c r="CS39" s="323"/>
      <c r="CT39" s="323"/>
      <c r="CU39" s="323"/>
      <c r="CV39" s="323"/>
      <c r="CW39" s="323"/>
      <c r="CX39" s="323"/>
      <c r="CY39" s="323"/>
      <c r="CZ39" s="323"/>
      <c r="EK39" s="1070"/>
      <c r="EL39" s="1070"/>
      <c r="EM39" s="1070"/>
      <c r="EN39" s="1070"/>
      <c r="EO39" s="1070"/>
      <c r="EP39" s="1070"/>
      <c r="EQ39" s="1070"/>
    </row>
    <row r="40" spans="2:147" ht="25" customHeight="1" x14ac:dyDescent="0.35">
      <c r="B40" s="1084" t="s">
        <v>830</v>
      </c>
      <c r="C40" s="1087">
        <f>IF(F40="Ja",E40,AH8)</f>
        <v>3</v>
      </c>
      <c r="D40" s="1087"/>
      <c r="E40" s="330">
        <v>3</v>
      </c>
      <c r="F40" s="336" t="s">
        <v>771</v>
      </c>
      <c r="G40" s="1093"/>
      <c r="H40" s="242"/>
      <c r="N40" s="183"/>
      <c r="O40" s="896" t="s">
        <v>4</v>
      </c>
      <c r="P40" s="897"/>
      <c r="Q40" s="898"/>
      <c r="R40" s="899" t="s">
        <v>5</v>
      </c>
      <c r="S40" s="900"/>
      <c r="V40" s="1147"/>
      <c r="W40" s="1148"/>
      <c r="X40" s="1148" t="s">
        <v>36</v>
      </c>
      <c r="Y40" s="1148">
        <f t="shared" si="5"/>
        <v>1.2695860192999999</v>
      </c>
      <c r="Z40" s="1148">
        <f t="shared" si="5"/>
        <v>0.72779971547857203</v>
      </c>
      <c r="AA40" s="1148"/>
      <c r="AB40" s="1148"/>
      <c r="AC40" s="1148"/>
      <c r="AD40" s="1148"/>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3"/>
      <c r="CL40" s="323"/>
      <c r="CM40" s="323"/>
      <c r="CN40" s="323"/>
      <c r="CO40" s="323"/>
      <c r="CP40" s="323"/>
      <c r="CQ40" s="323"/>
      <c r="CR40" s="323"/>
      <c r="CS40" s="323"/>
      <c r="CT40" s="323"/>
      <c r="CU40" s="323"/>
      <c r="CV40" s="323"/>
      <c r="CW40" s="323"/>
      <c r="CX40" s="323"/>
      <c r="CY40" s="323"/>
      <c r="CZ40" s="323"/>
      <c r="EK40" s="1070"/>
      <c r="EL40" s="1070"/>
      <c r="EM40" s="1070"/>
      <c r="EN40" s="1070"/>
      <c r="EO40" s="1070"/>
      <c r="EP40" s="1070"/>
      <c r="EQ40" s="1070"/>
    </row>
    <row r="41" spans="2:147" ht="25" customHeight="1" x14ac:dyDescent="0.35">
      <c r="B41" s="1084" t="s">
        <v>831</v>
      </c>
      <c r="C41" s="1087">
        <f>C50/I21/C39</f>
        <v>20</v>
      </c>
      <c r="D41" s="1087"/>
      <c r="E41" s="1103" t="s">
        <v>1034</v>
      </c>
      <c r="F41" s="1104"/>
      <c r="G41" s="1096"/>
      <c r="H41" s="242"/>
      <c r="J41" s="174"/>
      <c r="K41" s="174"/>
      <c r="N41" s="308"/>
      <c r="O41" s="896"/>
      <c r="P41" s="897"/>
      <c r="Q41" s="898"/>
      <c r="R41" s="899"/>
      <c r="S41" s="900"/>
      <c r="V41" s="1147"/>
      <c r="W41" s="1148"/>
      <c r="X41" s="1148" t="s">
        <v>817</v>
      </c>
      <c r="Y41" s="1148">
        <f>SUM(AA69)/$J$21/$Y$24</f>
        <v>0.76477499999999987</v>
      </c>
      <c r="Z41" s="1148">
        <f>SUM(AB69)/$J$21/$Y$24</f>
        <v>0.24471000000000001</v>
      </c>
      <c r="AA41" s="1148"/>
      <c r="AB41" s="1148"/>
      <c r="AC41" s="1148"/>
      <c r="AD41" s="1148"/>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t="s">
        <v>38</v>
      </c>
      <c r="BJ41" s="323">
        <f>BJ51*$J$21*$Y$24/1000</f>
        <v>110.4</v>
      </c>
      <c r="BK41" s="323">
        <f>BK51*J21*Y24/1000</f>
        <v>129.6</v>
      </c>
      <c r="BL41" s="323">
        <v>0.46</v>
      </c>
      <c r="BM41" s="323">
        <v>0.54</v>
      </c>
      <c r="BN41" s="323"/>
      <c r="BO41" s="323"/>
      <c r="BP41" s="323"/>
      <c r="BQ41" s="323"/>
      <c r="BR41" s="323"/>
      <c r="BS41" s="323"/>
      <c r="BT41" s="323"/>
      <c r="BU41" s="323"/>
      <c r="BV41" s="323"/>
      <c r="BW41" s="323"/>
      <c r="BX41" s="323"/>
      <c r="BY41" s="323"/>
      <c r="BZ41" s="323"/>
      <c r="CA41" s="323"/>
      <c r="CB41" s="323"/>
      <c r="CC41" s="323"/>
      <c r="CD41" s="323"/>
      <c r="CE41" s="323"/>
      <c r="CF41" s="323"/>
      <c r="CG41" s="323"/>
      <c r="CH41" s="323"/>
      <c r="CI41" s="323"/>
      <c r="CJ41" s="323"/>
      <c r="CK41" s="323"/>
      <c r="CL41" s="323"/>
      <c r="CM41" s="323"/>
      <c r="CN41" s="323"/>
      <c r="CO41" s="323"/>
      <c r="CP41" s="323"/>
      <c r="CQ41" s="323"/>
      <c r="CR41" s="323"/>
      <c r="CS41" s="323"/>
      <c r="CT41" s="323"/>
      <c r="CU41" s="323"/>
      <c r="CV41" s="323"/>
      <c r="CW41" s="323"/>
      <c r="CX41" s="323"/>
      <c r="CY41" s="323"/>
      <c r="CZ41" s="323"/>
      <c r="EK41" s="1070"/>
      <c r="EL41" s="1070"/>
      <c r="EM41" s="1070"/>
      <c r="EN41" s="1070"/>
      <c r="EO41" s="1070"/>
      <c r="EP41" s="1070"/>
      <c r="EQ41" s="1070"/>
    </row>
    <row r="42" spans="2:147" ht="25" customHeight="1" x14ac:dyDescent="0.35">
      <c r="B42" s="1084" t="s">
        <v>832</v>
      </c>
      <c r="C42" s="1088">
        <f>(((C39*C40*2)+(C41*C40*2))*I21)+((IF(C39&lt;C41,C39,C41)*((IF(C39&lt;C41,C39,C41)/2)*TAN(RADIANS(VLOOKUP(K21,Tagform_skema[#Data],2,0)))))*2)-C47</f>
        <v>280.8</v>
      </c>
      <c r="D42" s="1088"/>
      <c r="E42" s="1105"/>
      <c r="F42" s="1106"/>
      <c r="G42" s="1096"/>
      <c r="H42" s="242"/>
      <c r="J42" s="174"/>
      <c r="K42" s="174"/>
      <c r="N42" s="308"/>
      <c r="O42" s="963">
        <f>IF(OR(J21=0,C26="Vælg"),0,Y51*Y55)</f>
        <v>7360.7297600000002</v>
      </c>
      <c r="P42" s="964"/>
      <c r="Q42" s="965"/>
      <c r="R42" s="963">
        <f>IF(OR(J21=0,E26="Vælg"),0,Y52*Y55)</f>
        <v>75840.468162711855</v>
      </c>
      <c r="S42" s="965"/>
      <c r="V42" s="251"/>
      <c r="W42" s="323"/>
      <c r="X42" s="323" t="s">
        <v>37</v>
      </c>
      <c r="Y42" s="323">
        <f>IF(C26="Vælg",0,SUM(AA64)/$J$21/$Y$24)</f>
        <v>1.2257166239999997</v>
      </c>
      <c r="Z42" s="323">
        <f>IF(E26="Vælg",0,SUM(AB64)/$J$21/$Y$24)</f>
        <v>1.2257166239999997</v>
      </c>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t="s">
        <v>40</v>
      </c>
      <c r="BJ42" s="323">
        <f>BJ52*$J$21*$Y$24/1000</f>
        <v>73.599999999999994</v>
      </c>
      <c r="BK42" s="323">
        <f>BK52*J21*Y24/1000</f>
        <v>86.4</v>
      </c>
      <c r="BL42" s="323"/>
      <c r="BM42" s="323"/>
      <c r="BN42" s="323"/>
      <c r="BO42" s="323"/>
      <c r="BP42" s="323"/>
      <c r="BQ42" s="323"/>
      <c r="BR42" s="323"/>
      <c r="BS42" s="323"/>
      <c r="BT42" s="323"/>
      <c r="BU42" s="323"/>
      <c r="BV42" s="323"/>
      <c r="BW42" s="323"/>
      <c r="BX42" s="323"/>
      <c r="BY42" s="323"/>
      <c r="BZ42" s="323"/>
      <c r="CA42" s="323"/>
      <c r="CB42" s="323"/>
      <c r="CC42" s="323"/>
      <c r="CD42" s="323"/>
      <c r="CE42" s="323"/>
      <c r="CF42" s="323"/>
      <c r="CG42" s="323"/>
      <c r="CH42" s="323"/>
      <c r="CI42" s="323"/>
      <c r="CJ42" s="323"/>
      <c r="CK42" s="323"/>
      <c r="CL42" s="323"/>
      <c r="CM42" s="323"/>
      <c r="CN42" s="323"/>
      <c r="CO42" s="323"/>
      <c r="CP42" s="323"/>
      <c r="CQ42" s="323"/>
      <c r="CR42" s="323"/>
      <c r="CS42" s="323"/>
      <c r="CT42" s="323"/>
      <c r="CU42" s="323"/>
      <c r="CV42" s="323"/>
      <c r="CW42" s="323"/>
      <c r="CX42" s="323"/>
      <c r="CY42" s="323"/>
      <c r="CZ42" s="323"/>
      <c r="EK42" s="1070"/>
      <c r="EL42" s="1070"/>
      <c r="EM42" s="1070"/>
      <c r="EN42" s="1070"/>
      <c r="EO42" s="1070"/>
      <c r="EP42" s="1070"/>
      <c r="EQ42" s="1070"/>
    </row>
    <row r="43" spans="2:147" ht="25" customHeight="1" x14ac:dyDescent="0.35">
      <c r="B43" s="1084" t="s">
        <v>833</v>
      </c>
      <c r="C43" s="1088">
        <f>C50/I21</f>
        <v>200</v>
      </c>
      <c r="D43" s="1088"/>
      <c r="E43" s="1025" t="s">
        <v>771</v>
      </c>
      <c r="F43" s="1026"/>
      <c r="G43" s="1097"/>
      <c r="H43" s="242"/>
      <c r="J43" s="174"/>
      <c r="K43" s="174"/>
      <c r="N43" s="308"/>
      <c r="O43" s="963"/>
      <c r="P43" s="964"/>
      <c r="Q43" s="965"/>
      <c r="R43" s="963"/>
      <c r="S43" s="965"/>
      <c r="V43" s="251"/>
      <c r="W43" s="323"/>
      <c r="X43" s="323" t="s">
        <v>39</v>
      </c>
      <c r="Y43" s="323">
        <f>SUM(AA65)/$J$21/$Y$24</f>
        <v>0.94413094019999988</v>
      </c>
      <c r="Z43" s="323">
        <f>SUM(AB65)/$J$21/$Y$24</f>
        <v>5.0829795328421051E-2</v>
      </c>
      <c r="AA43" s="323"/>
      <c r="AB43" s="323"/>
      <c r="AC43" s="323">
        <f>$AJ$395</f>
        <v>461973.5</v>
      </c>
      <c r="AD43" s="323">
        <f>AK395</f>
        <v>499219.14285714284</v>
      </c>
      <c r="AE43" s="323"/>
      <c r="AF43" s="323"/>
      <c r="AG43" s="323"/>
      <c r="AH43" s="323"/>
      <c r="AI43" s="323"/>
      <c r="AJ43" s="323" t="s">
        <v>806</v>
      </c>
      <c r="AK43" s="323"/>
      <c r="AL43" s="323" t="s">
        <v>806</v>
      </c>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323"/>
      <c r="CB43" s="323"/>
      <c r="CC43" s="323"/>
      <c r="CD43" s="323"/>
      <c r="CE43" s="323"/>
      <c r="CF43" s="323"/>
      <c r="CG43" s="323"/>
      <c r="CH43" s="323"/>
      <c r="CI43" s="323"/>
      <c r="CJ43" s="323"/>
      <c r="CK43" s="323"/>
      <c r="CL43" s="323"/>
      <c r="CM43" s="323"/>
      <c r="CN43" s="323"/>
      <c r="CO43" s="323"/>
      <c r="CP43" s="323"/>
      <c r="CQ43" s="323"/>
      <c r="CR43" s="323"/>
      <c r="CS43" s="323"/>
      <c r="CT43" s="323"/>
      <c r="CU43" s="323"/>
      <c r="CV43" s="323"/>
      <c r="CW43" s="323"/>
      <c r="CX43" s="323"/>
      <c r="CY43" s="323"/>
      <c r="CZ43" s="323"/>
      <c r="EK43" s="1070"/>
      <c r="EL43" s="1070"/>
      <c r="EM43" s="1070"/>
      <c r="EN43" s="1070"/>
      <c r="EO43" s="1070"/>
      <c r="EP43" s="1070"/>
      <c r="EQ43" s="1070"/>
    </row>
    <row r="44" spans="2:147" ht="25" customHeight="1" x14ac:dyDescent="0.35">
      <c r="B44" s="1084" t="s">
        <v>834</v>
      </c>
      <c r="C44" s="1088">
        <f>C41*((C39/2)/COS(RADIANS(VLOOKUP(K21,Tagform_skema[#Data],2,0))))*2</f>
        <v>200</v>
      </c>
      <c r="D44" s="1089"/>
      <c r="E44" s="1118" t="s">
        <v>1035</v>
      </c>
      <c r="F44" s="1118"/>
      <c r="G44" s="1098"/>
      <c r="H44" s="242"/>
      <c r="J44" s="174"/>
      <c r="K44" s="174"/>
      <c r="N44" s="308"/>
      <c r="O44" s="966" t="s">
        <v>1110</v>
      </c>
      <c r="P44" s="967"/>
      <c r="Q44" s="968"/>
      <c r="R44" s="961" t="s">
        <v>1110</v>
      </c>
      <c r="S44" s="962"/>
      <c r="T44" s="337"/>
      <c r="V44" s="251"/>
      <c r="W44" s="323"/>
      <c r="X44" s="323" t="s">
        <v>42</v>
      </c>
      <c r="Y44" s="323">
        <f>IF(C26="Vælg",0,SUM(AA67)/$J$21/$Y$24)</f>
        <v>1.2</v>
      </c>
      <c r="Z44" s="323">
        <f>IF(E26="Vælg",0,SUM(AB67)/$J$21/$Y$24)</f>
        <v>1.2</v>
      </c>
      <c r="AA44" s="323"/>
      <c r="AB44" s="323"/>
      <c r="AC44" s="323"/>
      <c r="AD44" s="323"/>
      <c r="AE44" s="323"/>
      <c r="AF44" s="323"/>
      <c r="AG44" s="323"/>
      <c r="AH44" s="323"/>
      <c r="AI44" s="323"/>
      <c r="AJ44" s="323" t="s">
        <v>4</v>
      </c>
      <c r="AK44" s="323"/>
      <c r="AL44" s="323" t="s">
        <v>5</v>
      </c>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c r="BR44" s="323"/>
      <c r="BS44" s="323"/>
      <c r="BT44" s="323"/>
      <c r="BU44" s="323"/>
      <c r="BV44" s="323"/>
      <c r="BW44" s="323"/>
      <c r="BX44" s="323"/>
      <c r="BY44" s="323"/>
      <c r="BZ44" s="323"/>
      <c r="CA44" s="323"/>
      <c r="CB44" s="323"/>
      <c r="CC44" s="323"/>
      <c r="CD44" s="323"/>
      <c r="CE44" s="323"/>
      <c r="CF44" s="323"/>
      <c r="CG44" s="323"/>
      <c r="CH44" s="323"/>
      <c r="CI44" s="323"/>
      <c r="CJ44" s="323"/>
      <c r="CK44" s="323"/>
      <c r="CL44" s="323"/>
      <c r="CM44" s="323"/>
      <c r="CN44" s="323"/>
      <c r="CO44" s="323"/>
      <c r="CP44" s="323"/>
      <c r="CQ44" s="323"/>
      <c r="CR44" s="323"/>
      <c r="CS44" s="323"/>
      <c r="CT44" s="323"/>
      <c r="CU44" s="323"/>
      <c r="CV44" s="323"/>
      <c r="CW44" s="323"/>
      <c r="CX44" s="323"/>
      <c r="CY44" s="323"/>
      <c r="CZ44" s="323"/>
      <c r="EK44" s="1070"/>
      <c r="EL44" s="1070"/>
      <c r="EM44" s="1070"/>
      <c r="EN44" s="1070"/>
      <c r="EO44" s="1070"/>
      <c r="EP44" s="1070"/>
      <c r="EQ44" s="1070"/>
    </row>
    <row r="45" spans="2:147" ht="25" customHeight="1" x14ac:dyDescent="0.35">
      <c r="B45" s="1084" t="s">
        <v>835</v>
      </c>
      <c r="C45" s="1088">
        <f>(C39)*(C41)*(I21-1)</f>
        <v>200</v>
      </c>
      <c r="D45" s="1089"/>
      <c r="E45" s="1016">
        <v>20</v>
      </c>
      <c r="F45" s="1016"/>
      <c r="G45" s="1093"/>
      <c r="H45" s="242"/>
      <c r="J45" s="174"/>
      <c r="K45" s="174"/>
      <c r="N45" s="308"/>
      <c r="O45" s="882" t="s">
        <v>1102</v>
      </c>
      <c r="P45" s="883"/>
      <c r="Q45" s="883"/>
      <c r="R45" s="883"/>
      <c r="S45" s="884"/>
      <c r="V45" s="251"/>
      <c r="W45" s="323"/>
      <c r="X45" s="323" t="s">
        <v>41</v>
      </c>
      <c r="Y45" s="323">
        <f>SUM(AA66)/$J$21/$Y$24</f>
        <v>0.86546516974297427</v>
      </c>
      <c r="Z45" s="323">
        <f>SUM(AB66)/$J$21/$Y$24</f>
        <v>0.18862053008500004</v>
      </c>
      <c r="AA45" s="323"/>
      <c r="AB45" s="323"/>
      <c r="AC45" s="323"/>
      <c r="AD45" s="323"/>
      <c r="AE45" s="323"/>
      <c r="AF45" s="323"/>
      <c r="AG45" s="323"/>
      <c r="AH45" s="323"/>
      <c r="AI45" s="323"/>
      <c r="AJ45" s="323" t="e">
        <f>AM$33</f>
        <v>#N/A</v>
      </c>
      <c r="AK45" s="323"/>
      <c r="AL45" s="323" t="e">
        <f>AM34</f>
        <v>#N/A</v>
      </c>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c r="CP45" s="323"/>
      <c r="CQ45" s="323"/>
      <c r="CR45" s="323"/>
      <c r="CS45" s="323"/>
      <c r="CT45" s="323"/>
      <c r="CU45" s="323"/>
      <c r="CV45" s="323"/>
      <c r="CW45" s="323"/>
      <c r="CX45" s="323"/>
      <c r="CY45" s="323"/>
      <c r="CZ45" s="323"/>
      <c r="EK45" s="1070"/>
      <c r="EL45" s="1070"/>
      <c r="EM45" s="1070"/>
      <c r="EN45" s="1070"/>
      <c r="EO45" s="1070"/>
      <c r="EP45" s="1070"/>
      <c r="EQ45" s="1070"/>
    </row>
    <row r="46" spans="2:147" ht="25" customHeight="1" x14ac:dyDescent="0.35">
      <c r="B46" s="1084" t="s">
        <v>836</v>
      </c>
      <c r="C46" s="1088">
        <f>(IF(C41&gt;C39,C41,C39)+IF(C39&lt;C41,C39,C41)*IF((IF(C41&gt;C39,C41,C39)/10)&lt;1,1,IF(C41&gt;C39,C41,C39)/10))*C40*I21</f>
        <v>240</v>
      </c>
      <c r="D46" s="1088"/>
      <c r="E46" s="1107" t="s">
        <v>772</v>
      </c>
      <c r="F46" s="1108"/>
      <c r="G46" s="1099"/>
      <c r="H46" s="242"/>
      <c r="J46" s="174"/>
      <c r="K46" s="174"/>
      <c r="N46" s="308"/>
      <c r="O46" s="882"/>
      <c r="P46" s="883"/>
      <c r="Q46" s="883"/>
      <c r="R46" s="883"/>
      <c r="S46" s="884"/>
      <c r="V46" s="251"/>
      <c r="W46" s="323"/>
      <c r="X46" s="323" t="s">
        <v>775</v>
      </c>
      <c r="Y46" s="323">
        <f>IF(C26="Vælg",0,SUM(AA68)/$J$21/$Y$24)</f>
        <v>0</v>
      </c>
      <c r="Z46" s="323">
        <f>IF(E26="Vælg",0,SUM(AB68)/$J$21/$Y$24)</f>
        <v>0</v>
      </c>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c r="CP46" s="323"/>
      <c r="CQ46" s="323"/>
      <c r="CR46" s="323"/>
      <c r="CS46" s="323"/>
      <c r="CT46" s="323"/>
      <c r="CU46" s="323"/>
      <c r="CV46" s="323"/>
      <c r="CW46" s="323"/>
      <c r="CX46" s="323"/>
      <c r="CY46" s="323"/>
      <c r="CZ46" s="323"/>
      <c r="EK46" s="1070"/>
      <c r="EL46" s="1070"/>
      <c r="EM46" s="1070"/>
      <c r="EN46" s="1070"/>
      <c r="EO46" s="1070"/>
      <c r="EP46" s="1070"/>
      <c r="EQ46" s="1070"/>
    </row>
    <row r="47" spans="2:147" ht="25" customHeight="1" x14ac:dyDescent="0.35">
      <c r="B47" s="1084" t="s">
        <v>837</v>
      </c>
      <c r="C47" s="1088">
        <f>((((C39*C40*2)+(C41*C40*2))*I21)+((IF(C39&lt;C41,C39,C41)*((IF(C39&lt;C41,C39,C41)/2)*TAN(RADIANS(VLOOKUP(K21,Tagform_skema[#Data],2,0)))))*2))*(L21)</f>
        <v>79.2</v>
      </c>
      <c r="D47" s="1088"/>
      <c r="E47" s="1105"/>
      <c r="F47" s="1106"/>
      <c r="G47" s="1097"/>
      <c r="H47" s="242"/>
      <c r="J47" s="174"/>
      <c r="K47" s="174"/>
      <c r="N47" s="308"/>
      <c r="O47" s="896" t="s">
        <v>4</v>
      </c>
      <c r="P47" s="897"/>
      <c r="Q47" s="898"/>
      <c r="R47" s="899" t="s">
        <v>5</v>
      </c>
      <c r="S47" s="900"/>
      <c r="V47" s="251"/>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t="str">
        <f>Dropdown!O20</f>
        <v>kg CO2/m2/år</v>
      </c>
      <c r="BJ47" s="323" t="str">
        <f>BJ39</f>
        <v>Materialer</v>
      </c>
      <c r="BK47" s="323" t="str">
        <f>BK39</f>
        <v>Energiforbrug</v>
      </c>
      <c r="BL47" s="323" t="s">
        <v>43</v>
      </c>
      <c r="BM47" s="323"/>
      <c r="BN47" s="323"/>
      <c r="BO47" s="323"/>
      <c r="BP47" s="323" t="s">
        <v>38</v>
      </c>
      <c r="BQ47" s="323" t="s">
        <v>44</v>
      </c>
      <c r="BR47" s="323" t="s">
        <v>45</v>
      </c>
      <c r="BS47" s="323"/>
      <c r="BT47" s="323"/>
      <c r="BU47" s="323" t="str">
        <f>Dropdown!O20</f>
        <v>kg CO2/m2/år</v>
      </c>
      <c r="BV47" s="323" t="str">
        <f>BJ39</f>
        <v>Materialer</v>
      </c>
      <c r="BW47" s="323" t="str">
        <f>BK39</f>
        <v>Energiforbrug</v>
      </c>
      <c r="BX47" s="323"/>
      <c r="BY47" s="323"/>
      <c r="BZ47" s="323"/>
      <c r="CA47" s="323"/>
      <c r="CB47" s="323"/>
      <c r="CC47" s="323"/>
      <c r="CD47" s="323"/>
      <c r="CE47" s="323"/>
      <c r="CF47" s="323"/>
      <c r="CG47" s="323"/>
      <c r="CH47" s="323"/>
      <c r="CI47" s="323"/>
      <c r="CJ47" s="323"/>
      <c r="CK47" s="323"/>
      <c r="CL47" s="323"/>
      <c r="CM47" s="323"/>
      <c r="CN47" s="323"/>
      <c r="CO47" s="323"/>
      <c r="CP47" s="323"/>
      <c r="CQ47" s="323"/>
      <c r="CR47" s="323"/>
      <c r="CS47" s="323"/>
      <c r="CT47" s="323"/>
      <c r="CU47" s="323"/>
      <c r="CV47" s="323"/>
      <c r="CW47" s="323"/>
      <c r="CX47" s="323"/>
      <c r="CY47" s="323"/>
      <c r="CZ47" s="323"/>
      <c r="EK47" s="1070"/>
      <c r="EL47" s="1070"/>
      <c r="EM47" s="1070"/>
      <c r="EN47" s="1070"/>
      <c r="EO47" s="1070"/>
      <c r="EP47" s="1070"/>
      <c r="EQ47" s="1070"/>
    </row>
    <row r="48" spans="2:147" ht="25" customHeight="1" x14ac:dyDescent="0.35">
      <c r="B48" s="1085" t="s">
        <v>814</v>
      </c>
      <c r="C48" s="1090">
        <f>IF(F50=0,0,((F50/C39+C39)*2*3)*X26)</f>
        <v>0</v>
      </c>
      <c r="D48" s="1090"/>
      <c r="E48" s="997" t="s">
        <v>771</v>
      </c>
      <c r="F48" s="998"/>
      <c r="G48" s="1099"/>
      <c r="H48" s="242"/>
      <c r="J48" s="174"/>
      <c r="K48" s="174"/>
      <c r="N48" s="308"/>
      <c r="O48" s="896"/>
      <c r="P48" s="897"/>
      <c r="Q48" s="898"/>
      <c r="R48" s="899"/>
      <c r="S48" s="900"/>
      <c r="V48" s="251"/>
      <c r="W48" s="323"/>
      <c r="X48" s="323"/>
      <c r="Y48" s="323">
        <f>SUM(Y38:Y46)</f>
        <v>9.1985574010679816</v>
      </c>
      <c r="Z48" s="323">
        <f>SUM(Z38:Z46)</f>
        <v>4.1898447768632119</v>
      </c>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t="s">
        <v>46</v>
      </c>
      <c r="BJ48" s="323" t="s">
        <v>47</v>
      </c>
      <c r="BK48" s="323" t="s">
        <v>48</v>
      </c>
      <c r="BL48" s="323" t="s">
        <v>49</v>
      </c>
      <c r="BM48" s="323"/>
      <c r="BN48" s="323"/>
      <c r="BO48" s="323" t="s">
        <v>26</v>
      </c>
      <c r="BP48" s="323">
        <f>VLOOKUP(H21,Klimakravene[],3,0)</f>
        <v>12</v>
      </c>
      <c r="BQ48" s="323">
        <f>VLOOKUP(H21,Frivillig_CO2[],3,0)</f>
        <v>8</v>
      </c>
      <c r="BR48" s="323">
        <v>2.5</v>
      </c>
      <c r="BS48" s="323"/>
      <c r="BT48" s="323"/>
      <c r="BU48" s="323" t="s">
        <v>4</v>
      </c>
      <c r="BV48" s="660">
        <f>BJ49</f>
        <v>9.1985574010679816</v>
      </c>
      <c r="BW48" s="660">
        <f>BK49</f>
        <v>3.1437454115421004</v>
      </c>
      <c r="BX48" s="323"/>
      <c r="BY48" s="323"/>
      <c r="BZ48" s="323"/>
      <c r="CA48" s="323"/>
      <c r="CB48" s="323"/>
      <c r="CC48" s="323"/>
      <c r="CD48" s="323"/>
      <c r="CE48" s="323"/>
      <c r="CF48" s="323"/>
      <c r="CG48" s="323"/>
      <c r="CH48" s="323"/>
      <c r="CI48" s="323"/>
      <c r="CJ48" s="323"/>
      <c r="CK48" s="323"/>
      <c r="CL48" s="323"/>
      <c r="CM48" s="323"/>
      <c r="CN48" s="323"/>
      <c r="CO48" s="323"/>
      <c r="CP48" s="323"/>
      <c r="CQ48" s="323"/>
      <c r="CR48" s="323"/>
      <c r="CS48" s="323"/>
      <c r="CT48" s="323"/>
      <c r="CU48" s="323"/>
      <c r="CV48" s="323"/>
      <c r="CW48" s="323"/>
      <c r="CX48" s="323"/>
      <c r="CY48" s="323"/>
      <c r="CZ48" s="323"/>
      <c r="EK48" s="1070"/>
      <c r="EL48" s="1070"/>
      <c r="EM48" s="1070"/>
      <c r="EN48" s="1070"/>
      <c r="EO48" s="1070"/>
      <c r="EP48" s="1070"/>
      <c r="EQ48" s="1070"/>
    </row>
    <row r="49" spans="2:147" ht="25" customHeight="1" x14ac:dyDescent="0.35">
      <c r="B49" s="1085" t="s">
        <v>815</v>
      </c>
      <c r="C49" s="1090">
        <f>IF(F50=0,0,((C39*2+(F50/C39)*2))*3.5*X26)</f>
        <v>0</v>
      </c>
      <c r="D49" s="1090"/>
      <c r="E49" s="1116" t="s">
        <v>1104</v>
      </c>
      <c r="F49" s="682">
        <v>0.1</v>
      </c>
      <c r="G49" s="1095"/>
      <c r="H49" s="242"/>
      <c r="J49" s="174"/>
      <c r="K49" s="174"/>
      <c r="N49" s="308"/>
      <c r="O49" s="901">
        <f>IF(OR(J21=0,C26="Vælg"),0,AA55)</f>
        <v>0.12681788501961139</v>
      </c>
      <c r="P49" s="902"/>
      <c r="Q49" s="903"/>
      <c r="R49" s="901">
        <f>IF(OR(J21=0,E26="Vælg"),0,AB55)</f>
        <v>0.62920411406040555</v>
      </c>
      <c r="S49" s="903"/>
      <c r="V49" s="251"/>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t="s">
        <v>4</v>
      </c>
      <c r="BJ49" s="660">
        <f>BI8/$Y$24/$J$21*1000</f>
        <v>9.1985574010679816</v>
      </c>
      <c r="BK49" s="660">
        <f>IF(C26="vælg",0,BJ18/$Y$24/$J$21*1000)</f>
        <v>3.1437454115421004</v>
      </c>
      <c r="BL49" s="660">
        <f>SUM(Table1[[#This Row],[Column2]:[Column3]])</f>
        <v>12.342302812610082</v>
      </c>
      <c r="BM49" s="323"/>
      <c r="BN49" s="323"/>
      <c r="BO49" s="323" t="s">
        <v>50</v>
      </c>
      <c r="BP49" s="323">
        <f>VLOOKUP(H21,Klimakravene[],4,0)</f>
        <v>7.5</v>
      </c>
      <c r="BQ49" s="323">
        <f>VLOOKUP(H21,Frivillig_CO2[],4,0)</f>
        <v>6.1</v>
      </c>
      <c r="BR49" s="323">
        <v>2.5</v>
      </c>
      <c r="BS49" s="323"/>
      <c r="BT49" s="323"/>
      <c r="BU49" s="323" t="s">
        <v>5</v>
      </c>
      <c r="BV49" s="660">
        <f>BJ50</f>
        <v>4.1898447768632128</v>
      </c>
      <c r="BW49" s="660">
        <f>BK50</f>
        <v>3.1437454115421004</v>
      </c>
      <c r="BX49" s="323"/>
      <c r="BY49" s="323"/>
      <c r="BZ49" s="323"/>
      <c r="CA49" s="323"/>
      <c r="CB49" s="323"/>
      <c r="CC49" s="323"/>
      <c r="CD49" s="323"/>
      <c r="CE49" s="323"/>
      <c r="CF49" s="323"/>
      <c r="CG49" s="323"/>
      <c r="CH49" s="323"/>
      <c r="CI49" s="323"/>
      <c r="CJ49" s="323"/>
      <c r="CK49" s="323"/>
      <c r="CL49" s="323"/>
      <c r="CM49" s="323"/>
      <c r="CN49" s="323"/>
      <c r="CO49" s="323"/>
      <c r="CP49" s="323"/>
      <c r="CQ49" s="323"/>
      <c r="CR49" s="323"/>
      <c r="CS49" s="323"/>
      <c r="CT49" s="323"/>
      <c r="CU49" s="323"/>
      <c r="CV49" s="323"/>
      <c r="CW49" s="323"/>
      <c r="CX49" s="323"/>
      <c r="CY49" s="323"/>
      <c r="CZ49" s="323"/>
      <c r="EK49" s="1070"/>
      <c r="EL49" s="1070"/>
      <c r="EM49" s="1070"/>
      <c r="EN49" s="1070"/>
      <c r="EO49" s="1070"/>
      <c r="EP49" s="1070"/>
      <c r="EQ49" s="1070"/>
    </row>
    <row r="50" spans="2:147" ht="25" customHeight="1" x14ac:dyDescent="0.35">
      <c r="B50" s="1085" t="s">
        <v>1036</v>
      </c>
      <c r="C50" s="1090">
        <f>J21-(F50*X26)</f>
        <v>400</v>
      </c>
      <c r="D50" s="1090"/>
      <c r="E50" s="1116" t="s">
        <v>1033</v>
      </c>
      <c r="F50" s="1117">
        <f>J21*F49</f>
        <v>40</v>
      </c>
      <c r="G50" s="1095"/>
      <c r="H50" s="184"/>
      <c r="I50" s="174"/>
      <c r="K50" s="174"/>
      <c r="L50" s="174"/>
      <c r="M50" s="174"/>
      <c r="N50" s="197"/>
      <c r="O50" s="901"/>
      <c r="P50" s="902"/>
      <c r="Q50" s="903"/>
      <c r="R50" s="901"/>
      <c r="S50" s="903"/>
      <c r="V50" s="251"/>
      <c r="W50" s="323"/>
      <c r="X50" s="323" t="s">
        <v>874</v>
      </c>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t="s">
        <v>5</v>
      </c>
      <c r="BJ50" s="660">
        <f>BL8/$Y$24/$J$21*1000</f>
        <v>4.1898447768632128</v>
      </c>
      <c r="BK50" s="660">
        <f>IF(E26="Vælg",0,BM18/$Y$24/$J$21*1000)</f>
        <v>3.1437454115421004</v>
      </c>
      <c r="BL50" s="660">
        <f>SUM(Table1[[#This Row],[Column2]:[Column3]])</f>
        <v>7.3335901884053136</v>
      </c>
      <c r="BM50" s="323"/>
      <c r="BN50" s="323"/>
      <c r="BO50" s="323" t="s">
        <v>51</v>
      </c>
      <c r="BP50" s="323">
        <f>VLOOKUP(H21,Klimakravene[],5,0)</f>
        <v>6.8</v>
      </c>
      <c r="BQ50" s="323">
        <f>VLOOKUP(H21,Frivillig_CO2[],5,0)</f>
        <v>5.3</v>
      </c>
      <c r="BR50" s="323">
        <v>2.5</v>
      </c>
      <c r="BS50" s="323"/>
      <c r="BT50" s="323"/>
      <c r="BU50" s="323" t="s">
        <v>52</v>
      </c>
      <c r="BV50" s="323">
        <f>BL51</f>
        <v>12</v>
      </c>
      <c r="BW50" s="323">
        <v>0</v>
      </c>
      <c r="BX50" s="323"/>
      <c r="BY50" s="323"/>
      <c r="BZ50" s="323"/>
      <c r="CA50" s="323"/>
      <c r="CB50" s="323"/>
      <c r="CC50" s="323"/>
      <c r="CD50" s="323"/>
      <c r="CE50" s="323"/>
      <c r="CF50" s="323"/>
      <c r="CG50" s="323"/>
      <c r="CH50" s="323"/>
      <c r="CI50" s="323"/>
      <c r="CJ50" s="323"/>
      <c r="CK50" s="323"/>
      <c r="CL50" s="323"/>
      <c r="CM50" s="323"/>
      <c r="CN50" s="323"/>
      <c r="CO50" s="323"/>
      <c r="CP50" s="323"/>
      <c r="CQ50" s="323"/>
      <c r="CR50" s="323"/>
      <c r="CS50" s="323"/>
      <c r="CT50" s="323"/>
      <c r="CU50" s="323"/>
      <c r="CV50" s="323"/>
      <c r="CW50" s="323"/>
      <c r="CX50" s="323"/>
      <c r="CY50" s="323"/>
      <c r="CZ50" s="323"/>
      <c r="EK50" s="1070"/>
      <c r="EL50" s="1070"/>
      <c r="EM50" s="1070"/>
      <c r="EN50" s="1070"/>
      <c r="EO50" s="1070"/>
      <c r="EP50" s="1070"/>
      <c r="EQ50" s="1070"/>
    </row>
    <row r="51" spans="2:147" ht="25" customHeight="1" thickBot="1" x14ac:dyDescent="0.4">
      <c r="B51" s="424"/>
      <c r="C51" s="425"/>
      <c r="D51" s="425"/>
      <c r="E51" s="425"/>
      <c r="F51" s="425"/>
      <c r="G51" s="1100"/>
      <c r="H51" s="328"/>
      <c r="I51" s="186"/>
      <c r="J51" s="186"/>
      <c r="K51" s="186"/>
      <c r="L51" s="186"/>
      <c r="M51" s="186"/>
      <c r="N51" s="214"/>
      <c r="O51" s="904"/>
      <c r="P51" s="905"/>
      <c r="Q51" s="906"/>
      <c r="R51" s="904"/>
      <c r="S51" s="906"/>
      <c r="V51" s="251"/>
      <c r="W51" s="323"/>
      <c r="X51" s="323" t="s">
        <v>4</v>
      </c>
      <c r="Y51" s="323">
        <f>SUM(AT:AT)</f>
        <v>7360.7297600000002</v>
      </c>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t="s">
        <v>52</v>
      </c>
      <c r="BJ51" s="323">
        <f>Table1[[#This Row],[Column4]]*BL41</f>
        <v>5.5200000000000005</v>
      </c>
      <c r="BK51" s="323">
        <f>Table1[[#This Row],[Column4]]*BM41</f>
        <v>6.48</v>
      </c>
      <c r="BL51" s="323">
        <f>VLOOKUP(X18,$BO$48:$BR$51,2)</f>
        <v>12</v>
      </c>
      <c r="BM51" s="323"/>
      <c r="BN51" s="323"/>
      <c r="BO51" s="323" t="s">
        <v>53</v>
      </c>
      <c r="BP51" s="323">
        <f>VLOOKUP(H21,Klimakravene[],6,0)</f>
        <v>6.1</v>
      </c>
      <c r="BQ51" s="323">
        <f>VLOOKUP(H21,Frivillig_CO2[],6,0)</f>
        <v>4.5999999999999996</v>
      </c>
      <c r="BR51" s="323">
        <v>2.5</v>
      </c>
      <c r="BS51" s="323"/>
      <c r="BT51" s="323"/>
      <c r="BU51" s="323" t="s">
        <v>44</v>
      </c>
      <c r="BV51" s="323">
        <f>BL52</f>
        <v>8</v>
      </c>
      <c r="BW51" s="323">
        <v>0</v>
      </c>
      <c r="BX51" s="323"/>
      <c r="BY51" s="323"/>
      <c r="BZ51" s="323"/>
      <c r="CA51" s="323"/>
      <c r="CB51" s="323"/>
      <c r="CC51" s="323"/>
      <c r="CD51" s="323"/>
      <c r="CE51" s="323"/>
      <c r="CF51" s="323"/>
      <c r="CG51" s="323"/>
      <c r="CH51" s="323"/>
      <c r="CI51" s="323"/>
      <c r="CJ51" s="323"/>
      <c r="CK51" s="323"/>
      <c r="CL51" s="323"/>
      <c r="CM51" s="323"/>
      <c r="CN51" s="323"/>
      <c r="CO51" s="323"/>
      <c r="CP51" s="323"/>
      <c r="CQ51" s="323"/>
      <c r="CR51" s="323"/>
      <c r="CS51" s="323"/>
      <c r="CT51" s="323"/>
      <c r="CU51" s="323"/>
      <c r="CV51" s="323"/>
      <c r="CW51" s="323"/>
      <c r="CX51" s="323"/>
      <c r="CY51" s="323"/>
      <c r="CZ51" s="323"/>
      <c r="EK51" s="1070"/>
      <c r="EL51" s="1070"/>
      <c r="EM51" s="1070"/>
      <c r="EN51" s="1070"/>
      <c r="EO51" s="1070"/>
      <c r="EP51" s="1070"/>
      <c r="EQ51" s="1070"/>
    </row>
    <row r="52" spans="2:147" ht="11" customHeight="1" x14ac:dyDescent="0.35">
      <c r="B52" s="174"/>
      <c r="C52" s="174"/>
      <c r="D52" s="174"/>
      <c r="E52" s="174"/>
      <c r="F52" s="174"/>
      <c r="G52" s="174"/>
      <c r="H52" s="174"/>
      <c r="I52" s="174"/>
      <c r="J52" s="174"/>
      <c r="K52" s="174"/>
      <c r="L52" s="174"/>
      <c r="M52" s="174"/>
      <c r="N52" s="174"/>
      <c r="O52" s="174"/>
      <c r="P52" s="174"/>
      <c r="Q52" s="174"/>
      <c r="R52" s="174"/>
      <c r="S52" s="174"/>
      <c r="V52" s="251"/>
      <c r="W52" s="323"/>
      <c r="X52" s="323" t="s">
        <v>5</v>
      </c>
      <c r="Y52" s="323">
        <f>SUM(AU:AU)</f>
        <v>75840.468162711855</v>
      </c>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t="s">
        <v>44</v>
      </c>
      <c r="BJ52" s="323">
        <f>Table1[[#This Row],[Column4]]*BL41</f>
        <v>3.68</v>
      </c>
      <c r="BK52" s="323">
        <f>Table1[[#This Row],[Column4]]*BM41</f>
        <v>4.32</v>
      </c>
      <c r="BL52" s="323">
        <f>VLOOKUP(X18,$BO$48:$BR$51,3)</f>
        <v>8</v>
      </c>
      <c r="BM52" s="323"/>
      <c r="BN52" s="323"/>
      <c r="BO52" s="323"/>
      <c r="BP52" s="323"/>
      <c r="BQ52" s="323"/>
      <c r="BR52" s="323"/>
      <c r="BS52" s="323"/>
      <c r="BT52" s="323"/>
      <c r="BU52" s="323"/>
      <c r="BV52" s="323"/>
      <c r="BW52" s="323"/>
      <c r="BX52" s="323"/>
      <c r="BY52" s="323"/>
      <c r="BZ52" s="323"/>
      <c r="CA52" s="323"/>
      <c r="CB52" s="323"/>
      <c r="CC52" s="323"/>
      <c r="CD52" s="323"/>
      <c r="CE52" s="323"/>
      <c r="CF52" s="323"/>
      <c r="CG52" s="323"/>
      <c r="CH52" s="323"/>
      <c r="CI52" s="323"/>
      <c r="CJ52" s="323"/>
      <c r="CK52" s="323"/>
      <c r="CL52" s="323"/>
      <c r="CM52" s="323"/>
      <c r="CN52" s="323"/>
      <c r="CO52" s="323"/>
      <c r="CP52" s="323"/>
      <c r="CQ52" s="323"/>
      <c r="CR52" s="323"/>
      <c r="CS52" s="323"/>
      <c r="CT52" s="323"/>
      <c r="CU52" s="323"/>
      <c r="CV52" s="323"/>
      <c r="CW52" s="323"/>
      <c r="CX52" s="323"/>
      <c r="CY52" s="323"/>
      <c r="CZ52" s="323"/>
      <c r="EK52" s="1070"/>
      <c r="EL52" s="1070"/>
      <c r="EM52" s="1070"/>
      <c r="EN52" s="1070"/>
      <c r="EO52" s="1070"/>
      <c r="EP52" s="1070"/>
      <c r="EQ52" s="1070"/>
    </row>
    <row r="53" spans="2:147" ht="11" customHeight="1" x14ac:dyDescent="0.35">
      <c r="V53" s="251"/>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t="s">
        <v>54</v>
      </c>
      <c r="BJ53" s="323"/>
      <c r="BK53" s="323"/>
      <c r="BL53" s="323">
        <f>BR48</f>
        <v>2.5</v>
      </c>
      <c r="BM53" s="323"/>
      <c r="BN53" s="323"/>
      <c r="BO53" s="323"/>
      <c r="BP53" s="323"/>
      <c r="BQ53" s="323"/>
      <c r="BR53" s="323"/>
      <c r="BS53" s="323"/>
      <c r="BT53" s="323"/>
      <c r="BU53" s="323"/>
      <c r="BV53" s="323"/>
      <c r="BW53" s="323"/>
      <c r="BX53" s="323"/>
      <c r="BY53" s="323"/>
      <c r="BZ53" s="323"/>
      <c r="CA53" s="323"/>
      <c r="CB53" s="323"/>
      <c r="CC53" s="323"/>
      <c r="CD53" s="323"/>
      <c r="CE53" s="323"/>
      <c r="CF53" s="323"/>
      <c r="CG53" s="323"/>
      <c r="CH53" s="323"/>
      <c r="CI53" s="323"/>
      <c r="CJ53" s="323"/>
      <c r="CK53" s="323"/>
      <c r="CL53" s="323"/>
      <c r="CM53" s="323"/>
      <c r="CN53" s="323"/>
      <c r="CO53" s="323"/>
      <c r="CP53" s="323"/>
      <c r="CQ53" s="323"/>
      <c r="CR53" s="323"/>
      <c r="CS53" s="323"/>
      <c r="CT53" s="323"/>
      <c r="CU53" s="323"/>
      <c r="CV53" s="323"/>
      <c r="CW53" s="323"/>
      <c r="CX53" s="323"/>
      <c r="CY53" s="323"/>
      <c r="CZ53" s="323"/>
      <c r="EK53" s="1070"/>
      <c r="EL53" s="1070"/>
      <c r="EM53" s="1070"/>
      <c r="EN53" s="1070"/>
      <c r="EO53" s="1070"/>
      <c r="EP53" s="1070"/>
      <c r="EQ53" s="1070"/>
    </row>
    <row r="54" spans="2:147" ht="11" customHeight="1" x14ac:dyDescent="0.35">
      <c r="C54" s="542"/>
      <c r="D54" s="542"/>
      <c r="E54" s="542"/>
      <c r="F54" s="542"/>
      <c r="V54" s="251"/>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c r="BP54" s="323"/>
      <c r="BQ54" s="323"/>
      <c r="BR54" s="323"/>
      <c r="BS54" s="323"/>
      <c r="BT54" s="323"/>
      <c r="BU54" s="323"/>
      <c r="BV54" s="323"/>
      <c r="BW54" s="323"/>
      <c r="BX54" s="323"/>
      <c r="BY54" s="323"/>
      <c r="BZ54" s="323"/>
      <c r="CA54" s="323"/>
      <c r="CB54" s="323"/>
      <c r="CC54" s="323"/>
      <c r="CD54" s="323"/>
      <c r="CE54" s="323"/>
      <c r="CF54" s="323"/>
      <c r="CG54" s="323"/>
      <c r="CH54" s="323"/>
      <c r="CI54" s="323"/>
      <c r="CJ54" s="323"/>
      <c r="CK54" s="323"/>
      <c r="CL54" s="323"/>
      <c r="CM54" s="323"/>
      <c r="CN54" s="323"/>
      <c r="CO54" s="323"/>
      <c r="CP54" s="323"/>
      <c r="CQ54" s="323"/>
      <c r="CR54" s="323"/>
      <c r="CS54" s="323"/>
      <c r="CT54" s="323"/>
      <c r="CU54" s="323"/>
      <c r="CV54" s="323"/>
      <c r="CW54" s="323"/>
      <c r="CX54" s="323"/>
      <c r="CY54" s="323"/>
      <c r="CZ54" s="323"/>
      <c r="EK54" s="1070"/>
      <c r="EL54" s="1070"/>
      <c r="EM54" s="1070"/>
      <c r="EN54" s="1070"/>
      <c r="EO54" s="1070"/>
      <c r="EP54" s="1070"/>
      <c r="EQ54" s="1070"/>
    </row>
    <row r="55" spans="2:147" ht="11" customHeight="1" x14ac:dyDescent="0.35">
      <c r="C55" s="174"/>
      <c r="D55" s="177"/>
      <c r="G55" s="174"/>
      <c r="J55" s="178"/>
      <c r="K55" s="174"/>
      <c r="N55" s="176"/>
      <c r="O55" s="176"/>
      <c r="V55" s="251"/>
      <c r="W55" s="323"/>
      <c r="X55" s="323" t="s">
        <v>875</v>
      </c>
      <c r="Y55" s="323">
        <v>1</v>
      </c>
      <c r="Z55" s="323"/>
      <c r="AA55" s="323">
        <f>(-1*AA72)/AA71</f>
        <v>0.12681788501961139</v>
      </c>
      <c r="AB55" s="323">
        <f>(-1*AB72)/AB71</f>
        <v>0.62920411406040555</v>
      </c>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c r="BT55" s="323"/>
      <c r="BU55" s="323"/>
      <c r="BV55" s="323"/>
      <c r="BW55" s="323"/>
      <c r="BX55" s="323"/>
      <c r="BY55" s="323"/>
      <c r="BZ55" s="323"/>
      <c r="CA55" s="323"/>
      <c r="CB55" s="323"/>
      <c r="CC55" s="323"/>
      <c r="CD55" s="323"/>
      <c r="CE55" s="323"/>
      <c r="CF55" s="323"/>
      <c r="CG55" s="323"/>
      <c r="CH55" s="323"/>
      <c r="CI55" s="323"/>
      <c r="CJ55" s="323"/>
      <c r="CK55" s="323"/>
      <c r="CL55" s="323"/>
      <c r="CM55" s="323"/>
      <c r="CN55" s="323"/>
      <c r="CO55" s="323"/>
      <c r="CP55" s="323"/>
      <c r="CQ55" s="323"/>
      <c r="CR55" s="323"/>
      <c r="CS55" s="323"/>
      <c r="CT55" s="323"/>
      <c r="CU55" s="323"/>
      <c r="CV55" s="323"/>
      <c r="CW55" s="323"/>
      <c r="CX55" s="323"/>
      <c r="CY55" s="323"/>
      <c r="CZ55" s="323"/>
      <c r="EK55" s="1070"/>
      <c r="EL55" s="1070"/>
      <c r="EM55" s="1070"/>
      <c r="EN55" s="1070"/>
      <c r="EO55" s="1070"/>
      <c r="EP55" s="1070"/>
      <c r="EQ55" s="1070"/>
    </row>
    <row r="56" spans="2:147" ht="11" customHeight="1" x14ac:dyDescent="0.35">
      <c r="C56" s="174"/>
      <c r="D56" s="177"/>
      <c r="G56" s="174"/>
      <c r="J56" s="178"/>
      <c r="K56" s="174"/>
      <c r="N56" s="176"/>
      <c r="O56" s="176"/>
      <c r="V56" s="251"/>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c r="BP56" s="323"/>
      <c r="BQ56" s="323"/>
      <c r="BR56" s="323"/>
      <c r="BS56" s="323"/>
      <c r="BT56" s="323"/>
      <c r="BU56" s="323"/>
      <c r="BV56" s="323"/>
      <c r="BW56" s="323"/>
      <c r="BX56" s="323"/>
      <c r="BY56" s="323"/>
      <c r="BZ56" s="323"/>
      <c r="CA56" s="323"/>
      <c r="CB56" s="323"/>
      <c r="CC56" s="323"/>
      <c r="CD56" s="323"/>
      <c r="CE56" s="323"/>
      <c r="CF56" s="323"/>
      <c r="CG56" s="323"/>
      <c r="CH56" s="323"/>
      <c r="CI56" s="323"/>
      <c r="CJ56" s="323"/>
      <c r="CK56" s="323"/>
      <c r="CL56" s="323"/>
      <c r="CM56" s="323"/>
      <c r="CN56" s="323"/>
      <c r="CO56" s="323"/>
      <c r="CP56" s="323"/>
      <c r="CQ56" s="323"/>
      <c r="CR56" s="323"/>
      <c r="CS56" s="323"/>
      <c r="CT56" s="323"/>
      <c r="CU56" s="323"/>
      <c r="CV56" s="323"/>
      <c r="CW56" s="323"/>
      <c r="CX56" s="323"/>
      <c r="CY56" s="323"/>
      <c r="CZ56" s="323"/>
      <c r="EK56" s="1070"/>
      <c r="EL56" s="1070"/>
      <c r="EM56" s="1070"/>
      <c r="EN56" s="1070"/>
      <c r="EO56" s="1070"/>
      <c r="EP56" s="1070"/>
      <c r="EQ56" s="1070"/>
    </row>
    <row r="57" spans="2:147" ht="11" customHeight="1" x14ac:dyDescent="0.35">
      <c r="C57" s="174"/>
      <c r="E57" s="178"/>
      <c r="F57" s="178"/>
      <c r="G57" s="174"/>
      <c r="J57" s="178"/>
      <c r="K57" s="174"/>
      <c r="N57" s="176"/>
      <c r="O57" s="176"/>
      <c r="V57" s="251"/>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c r="BP57" s="323"/>
      <c r="BQ57" s="323"/>
      <c r="BR57" s="323"/>
      <c r="BS57" s="323"/>
      <c r="BT57" s="323"/>
      <c r="BU57" s="323"/>
      <c r="BV57" s="323"/>
      <c r="BW57" s="323"/>
      <c r="BX57" s="323"/>
      <c r="BY57" s="323"/>
      <c r="BZ57" s="323"/>
      <c r="CA57" s="323"/>
      <c r="CB57" s="323"/>
      <c r="CC57" s="323"/>
      <c r="CD57" s="323"/>
      <c r="CE57" s="323"/>
      <c r="CF57" s="323"/>
      <c r="CG57" s="323"/>
      <c r="CH57" s="323"/>
      <c r="CI57" s="323"/>
      <c r="CJ57" s="323"/>
      <c r="CK57" s="323"/>
      <c r="CL57" s="323"/>
      <c r="CM57" s="323"/>
      <c r="CN57" s="323"/>
      <c r="CO57" s="323"/>
      <c r="CP57" s="323"/>
      <c r="CQ57" s="323"/>
      <c r="CR57" s="323"/>
      <c r="CS57" s="323"/>
      <c r="CT57" s="323"/>
      <c r="CU57" s="323"/>
      <c r="CV57" s="323"/>
      <c r="CW57" s="323"/>
      <c r="CX57" s="323"/>
      <c r="CY57" s="323"/>
      <c r="CZ57" s="323"/>
      <c r="EK57" s="1070"/>
      <c r="EL57" s="1070"/>
      <c r="EM57" s="1070"/>
      <c r="EN57" s="1070"/>
      <c r="EO57" s="1070"/>
      <c r="EP57" s="1070"/>
      <c r="EQ57" s="1070"/>
    </row>
    <row r="58" spans="2:147" ht="11" customHeight="1" x14ac:dyDescent="0.35">
      <c r="C58" s="174"/>
      <c r="D58" s="177"/>
      <c r="E58" s="174"/>
      <c r="F58" s="178"/>
      <c r="G58" s="174"/>
      <c r="J58" s="178"/>
      <c r="K58" s="174"/>
      <c r="N58" s="176"/>
      <c r="O58" s="176"/>
      <c r="V58" s="251"/>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c r="BP58" s="323"/>
      <c r="BQ58" s="323"/>
      <c r="BR58" s="323"/>
      <c r="BS58" s="323"/>
      <c r="BT58" s="323"/>
      <c r="BU58" s="323"/>
      <c r="BV58" s="323"/>
      <c r="BW58" s="323"/>
      <c r="BX58" s="323"/>
      <c r="BY58" s="323"/>
      <c r="BZ58" s="323"/>
      <c r="CA58" s="323"/>
      <c r="CB58" s="323"/>
      <c r="CC58" s="323"/>
      <c r="CD58" s="323"/>
      <c r="CE58" s="323"/>
      <c r="CF58" s="323"/>
      <c r="CG58" s="323"/>
      <c r="CH58" s="323"/>
      <c r="CI58" s="323"/>
      <c r="CJ58" s="323"/>
      <c r="CK58" s="323"/>
      <c r="CL58" s="323"/>
      <c r="CM58" s="323"/>
      <c r="CN58" s="323"/>
      <c r="CO58" s="323"/>
      <c r="CP58" s="323"/>
      <c r="CQ58" s="323"/>
      <c r="CR58" s="323"/>
      <c r="CS58" s="323"/>
      <c r="CT58" s="323"/>
      <c r="CU58" s="323"/>
      <c r="CV58" s="323"/>
      <c r="CW58" s="323"/>
      <c r="CX58" s="323"/>
      <c r="CY58" s="323"/>
      <c r="CZ58" s="323"/>
      <c r="EK58" s="1070"/>
      <c r="EL58" s="1070"/>
      <c r="EM58" s="1070"/>
      <c r="EN58" s="1070"/>
      <c r="EO58" s="1070"/>
      <c r="EP58" s="1070"/>
      <c r="EQ58" s="1070"/>
    </row>
    <row r="59" spans="2:147" ht="11" customHeight="1" thickBot="1" x14ac:dyDescent="0.4">
      <c r="C59" s="174"/>
      <c r="D59" s="177"/>
      <c r="E59" s="174"/>
      <c r="F59" s="178"/>
      <c r="G59" s="174"/>
      <c r="J59" s="178"/>
      <c r="K59" s="174"/>
      <c r="N59" s="176"/>
      <c r="O59" s="176"/>
      <c r="V59" s="251"/>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f t="shared" ref="BB59:BF62" si="6">BB13</f>
        <v>25</v>
      </c>
      <c r="BC59" s="323">
        <f t="shared" si="6"/>
        <v>0</v>
      </c>
      <c r="BD59" s="323">
        <f t="shared" si="6"/>
        <v>0</v>
      </c>
      <c r="BE59" s="323">
        <f t="shared" si="6"/>
        <v>0</v>
      </c>
      <c r="BF59" s="323">
        <f t="shared" si="6"/>
        <v>0</v>
      </c>
      <c r="BG59" s="323"/>
      <c r="BH59" s="323"/>
      <c r="BI59" s="323"/>
      <c r="BJ59" s="323"/>
      <c r="BK59" s="323"/>
      <c r="BL59" s="323"/>
      <c r="BM59" s="323"/>
      <c r="BN59" s="323"/>
      <c r="BO59" s="323"/>
      <c r="BP59" s="323"/>
      <c r="BQ59" s="323"/>
      <c r="BR59" s="323"/>
      <c r="BS59" s="323"/>
      <c r="BT59" s="323"/>
      <c r="BU59" s="323"/>
      <c r="BV59" s="323"/>
      <c r="BW59" s="323"/>
      <c r="BX59" s="323"/>
      <c r="BY59" s="323"/>
      <c r="BZ59" s="323"/>
      <c r="CA59" s="323"/>
      <c r="CB59" s="323"/>
      <c r="CC59" s="323"/>
      <c r="CD59" s="323"/>
      <c r="CE59" s="323"/>
      <c r="CF59" s="323"/>
      <c r="CG59" s="323"/>
      <c r="CH59" s="323"/>
      <c r="CI59" s="323"/>
      <c r="CJ59" s="323"/>
      <c r="CK59" s="323"/>
      <c r="CL59" s="323"/>
      <c r="CM59" s="323"/>
      <c r="CN59" s="323"/>
      <c r="CO59" s="323"/>
      <c r="CP59" s="323"/>
      <c r="CQ59" s="323"/>
      <c r="CR59" s="323"/>
      <c r="CS59" s="323"/>
      <c r="CT59" s="323"/>
      <c r="CU59" s="323"/>
      <c r="CV59" s="323"/>
      <c r="CW59" s="323"/>
      <c r="CX59" s="323"/>
      <c r="CY59" s="323"/>
      <c r="CZ59" s="323"/>
      <c r="EK59" s="1070"/>
      <c r="EL59" s="1070"/>
      <c r="EM59" s="1070"/>
      <c r="EN59" s="1070"/>
      <c r="EO59" s="1070"/>
      <c r="EP59" s="1070"/>
      <c r="EQ59" s="1070"/>
    </row>
    <row r="60" spans="2:147" ht="40.5" customHeight="1" x14ac:dyDescent="0.7">
      <c r="B60" s="484" t="s">
        <v>824</v>
      </c>
      <c r="C60" s="481"/>
      <c r="D60" s="481"/>
      <c r="E60" s="483"/>
      <c r="F60" s="483"/>
      <c r="G60" s="483"/>
      <c r="H60" s="483"/>
      <c r="I60" s="483"/>
      <c r="J60" s="483"/>
      <c r="K60" s="481"/>
      <c r="L60" s="481"/>
      <c r="M60" s="481"/>
      <c r="N60" s="481"/>
      <c r="O60" s="481"/>
      <c r="P60" s="481"/>
      <c r="Q60" s="481"/>
      <c r="R60" s="481"/>
      <c r="S60" s="482"/>
      <c r="V60" s="251"/>
      <c r="W60" s="323"/>
      <c r="X60" s="323"/>
      <c r="Y60" s="323"/>
      <c r="Z60" s="323" t="s">
        <v>55</v>
      </c>
      <c r="AA60" s="323"/>
      <c r="AB60" s="323" t="s">
        <v>56</v>
      </c>
      <c r="AC60" s="323"/>
      <c r="AD60" s="323" t="s">
        <v>57</v>
      </c>
      <c r="AE60" s="323"/>
      <c r="AF60" s="323" t="s">
        <v>58</v>
      </c>
      <c r="AG60" s="323"/>
      <c r="AH60" s="323"/>
      <c r="AI60" s="323"/>
      <c r="AJ60" s="323" t="s">
        <v>746</v>
      </c>
      <c r="AK60" s="323" t="s">
        <v>747</v>
      </c>
      <c r="AL60" s="323"/>
      <c r="AM60" s="323"/>
      <c r="AN60" s="323"/>
      <c r="AO60" s="323"/>
      <c r="AP60" s="323"/>
      <c r="AQ60" s="323"/>
      <c r="AR60" s="323"/>
      <c r="AS60" s="323"/>
      <c r="AT60" s="323"/>
      <c r="AU60" s="323"/>
      <c r="AV60" s="323"/>
      <c r="AW60" s="323"/>
      <c r="AX60" s="323"/>
      <c r="AY60" s="323"/>
      <c r="AZ60" s="323"/>
      <c r="BA60" s="323"/>
      <c r="BB60" s="323">
        <f t="shared" si="6"/>
        <v>30</v>
      </c>
      <c r="BC60" s="323">
        <f t="shared" si="6"/>
        <v>0</v>
      </c>
      <c r="BD60" s="323">
        <f t="shared" si="6"/>
        <v>0</v>
      </c>
      <c r="BE60" s="323">
        <f t="shared" si="6"/>
        <v>0</v>
      </c>
      <c r="BF60" s="323">
        <f t="shared" si="6"/>
        <v>0</v>
      </c>
      <c r="BG60" s="323"/>
      <c r="BH60" s="323"/>
      <c r="BI60" s="323"/>
      <c r="BJ60" s="323"/>
      <c r="BK60" s="323"/>
      <c r="BL60" s="323"/>
      <c r="BM60" s="323"/>
      <c r="BN60" s="323"/>
      <c r="BO60" s="323"/>
      <c r="BP60" s="323"/>
      <c r="BQ60" s="323"/>
      <c r="BR60" s="323"/>
      <c r="BS60" s="323"/>
      <c r="BT60" s="323"/>
      <c r="BU60" s="323"/>
      <c r="BV60" s="323"/>
      <c r="BW60" s="323"/>
      <c r="BX60" s="323"/>
      <c r="BY60" s="323"/>
      <c r="BZ60" s="323"/>
      <c r="CA60" s="323"/>
      <c r="CB60" s="323"/>
      <c r="CC60" s="323"/>
      <c r="CD60" s="323"/>
      <c r="CE60" s="323"/>
      <c r="CF60" s="323"/>
      <c r="CG60" s="323"/>
      <c r="CH60" s="323"/>
      <c r="CI60" s="323"/>
      <c r="CJ60" s="323"/>
      <c r="CK60" s="323"/>
      <c r="CL60" s="323"/>
      <c r="CM60" s="323"/>
      <c r="CN60" s="323"/>
      <c r="CO60" s="323"/>
      <c r="CP60" s="323"/>
      <c r="CQ60" s="323"/>
      <c r="CR60" s="323"/>
      <c r="CS60" s="323"/>
      <c r="CT60" s="323"/>
      <c r="CU60" s="323"/>
      <c r="CV60" s="323"/>
      <c r="CW60" s="323"/>
      <c r="CX60" s="323"/>
      <c r="CY60" s="323"/>
      <c r="CZ60" s="323"/>
      <c r="EK60" s="1070"/>
      <c r="EL60" s="1070"/>
      <c r="EM60" s="1070"/>
      <c r="EN60" s="1070"/>
      <c r="EO60" s="1070"/>
      <c r="EP60" s="1070"/>
      <c r="EQ60" s="1070"/>
    </row>
    <row r="61" spans="2:147" ht="25" customHeight="1" x14ac:dyDescent="0.65">
      <c r="B61" s="179"/>
      <c r="C61" s="178"/>
      <c r="E61" s="178"/>
      <c r="G61" s="178"/>
      <c r="H61" s="178"/>
      <c r="I61" s="178"/>
      <c r="J61" s="178"/>
      <c r="K61" s="178"/>
      <c r="L61" s="178"/>
      <c r="M61" s="178"/>
      <c r="N61" s="178"/>
      <c r="O61" s="178"/>
      <c r="P61" s="178"/>
      <c r="Q61" s="178"/>
      <c r="R61" s="178"/>
      <c r="S61" s="180"/>
      <c r="T61" s="178"/>
      <c r="V61" s="251"/>
      <c r="W61" s="323"/>
      <c r="X61" s="323"/>
      <c r="Y61" s="323"/>
      <c r="Z61" s="323" t="s">
        <v>59</v>
      </c>
      <c r="AA61" s="323">
        <f>W74+W85+W96+W107+W118</f>
        <v>37932.597864930933</v>
      </c>
      <c r="AB61" s="323">
        <f>X74+X85+X96+X107+X118</f>
        <v>5315.4307118311581</v>
      </c>
      <c r="AC61" s="323" t="s">
        <v>60</v>
      </c>
      <c r="AD61" s="323" t="s">
        <v>59</v>
      </c>
      <c r="AE61" s="323">
        <f>SUM(Varmetab!D67:D71)</f>
        <v>2767.9367919292176</v>
      </c>
      <c r="AF61" s="323">
        <f>SUM(Varmetab!E67:E71)</f>
        <v>2987.3898305084749</v>
      </c>
      <c r="AG61" s="323" t="s">
        <v>60</v>
      </c>
      <c r="AH61" s="323"/>
      <c r="AI61" s="323" t="str">
        <f>'LCA data'!$B$8</f>
        <v>Udvendig beklædning</v>
      </c>
      <c r="AJ61" s="323">
        <f t="shared" ref="AJ61:AK65" si="7">AJ72+AJ83+AJ94+AJ105+AJ116</f>
        <v>432336.52800000005</v>
      </c>
      <c r="AK61" s="323">
        <f t="shared" si="7"/>
        <v>349632.50400000007</v>
      </c>
      <c r="AL61" s="323"/>
      <c r="AM61" s="323"/>
      <c r="AN61" s="323"/>
      <c r="AO61" s="323"/>
      <c r="AP61" s="323"/>
      <c r="AQ61" s="323"/>
      <c r="AR61" s="323"/>
      <c r="AS61" s="323"/>
      <c r="AT61" s="323"/>
      <c r="AU61" s="323"/>
      <c r="AV61" s="323"/>
      <c r="AW61" s="323"/>
      <c r="AX61" s="323"/>
      <c r="AY61" s="323"/>
      <c r="AZ61" s="323"/>
      <c r="BA61" s="323"/>
      <c r="BB61" s="323">
        <f t="shared" si="6"/>
        <v>35</v>
      </c>
      <c r="BC61" s="323">
        <f t="shared" si="6"/>
        <v>0</v>
      </c>
      <c r="BD61" s="323">
        <f t="shared" si="6"/>
        <v>0</v>
      </c>
      <c r="BE61" s="323">
        <f t="shared" si="6"/>
        <v>0</v>
      </c>
      <c r="BF61" s="323">
        <f t="shared" si="6"/>
        <v>0</v>
      </c>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c r="CF61" s="323"/>
      <c r="CG61" s="323"/>
      <c r="CH61" s="323"/>
      <c r="CI61" s="323"/>
      <c r="CJ61" s="323"/>
      <c r="CK61" s="323"/>
      <c r="CL61" s="323"/>
      <c r="CM61" s="323"/>
      <c r="CN61" s="323"/>
      <c r="CO61" s="323"/>
      <c r="CP61" s="323"/>
      <c r="CQ61" s="323"/>
      <c r="CR61" s="323"/>
      <c r="CS61" s="323"/>
      <c r="CT61" s="323"/>
      <c r="CU61" s="323"/>
      <c r="CV61" s="323"/>
      <c r="CW61" s="323"/>
      <c r="CX61" s="323"/>
      <c r="CY61" s="323"/>
      <c r="CZ61" s="323"/>
      <c r="EK61" s="1070"/>
      <c r="EL61" s="1070"/>
      <c r="EM61" s="1070"/>
      <c r="EN61" s="1070"/>
      <c r="EO61" s="1070"/>
      <c r="EP61" s="1070"/>
      <c r="EQ61" s="1070"/>
    </row>
    <row r="62" spans="2:147" ht="25.4" customHeight="1" x14ac:dyDescent="0.35">
      <c r="B62" s="181"/>
      <c r="C62" s="178"/>
      <c r="E62" s="178"/>
      <c r="G62" s="178"/>
      <c r="H62" s="178"/>
      <c r="I62" s="178"/>
      <c r="J62" s="178"/>
      <c r="K62" s="178"/>
      <c r="L62" s="178"/>
      <c r="M62" s="178"/>
      <c r="N62" s="178"/>
      <c r="O62" s="178"/>
      <c r="P62" s="178"/>
      <c r="Q62" s="178"/>
      <c r="R62" s="178"/>
      <c r="S62" s="180"/>
      <c r="T62" s="178"/>
      <c r="V62" s="251"/>
      <c r="W62" s="323"/>
      <c r="X62" s="323"/>
      <c r="Y62" s="323"/>
      <c r="Z62" s="323" t="s">
        <v>61</v>
      </c>
      <c r="AA62" s="323">
        <f>W141+W151+W161+W171+W181</f>
        <v>20645.075091569233</v>
      </c>
      <c r="AB62" s="323">
        <f>X141+X151+X161+X171+X181</f>
        <v>5727.9315275932231</v>
      </c>
      <c r="AC62" s="323" t="s">
        <v>62</v>
      </c>
      <c r="AD62" s="323" t="s">
        <v>61</v>
      </c>
      <c r="AE62" s="323">
        <f>SUM(Varmetab!D72:D76)</f>
        <v>1486.2290482167909</v>
      </c>
      <c r="AF62" s="323">
        <f>SUM(Varmetab!E72:E76)</f>
        <v>1604.7197640117993</v>
      </c>
      <c r="AG62" s="323" t="s">
        <v>62</v>
      </c>
      <c r="AH62" s="323"/>
      <c r="AI62" s="323" t="str">
        <f>'LCA data'!$B$25</f>
        <v>Udvendig konstruktion</v>
      </c>
      <c r="AJ62" s="323">
        <f t="shared" si="7"/>
        <v>0</v>
      </c>
      <c r="AK62" s="323">
        <f t="shared" si="7"/>
        <v>28080</v>
      </c>
      <c r="AL62" s="323"/>
      <c r="AM62" s="323"/>
      <c r="AN62" s="323"/>
      <c r="AO62" s="323"/>
      <c r="AP62" s="323"/>
      <c r="AQ62" s="323"/>
      <c r="AR62" s="323"/>
      <c r="AS62" s="323"/>
      <c r="AT62" s="323"/>
      <c r="AU62" s="323"/>
      <c r="AV62" s="323"/>
      <c r="AW62" s="323"/>
      <c r="AX62" s="323"/>
      <c r="AY62" s="323"/>
      <c r="AZ62" s="323"/>
      <c r="BA62" s="323"/>
      <c r="BB62" s="323">
        <f t="shared" si="6"/>
        <v>40</v>
      </c>
      <c r="BC62" s="323">
        <f t="shared" si="6"/>
        <v>0</v>
      </c>
      <c r="BD62" s="323">
        <f t="shared" si="6"/>
        <v>0</v>
      </c>
      <c r="BE62" s="323">
        <f t="shared" si="6"/>
        <v>0</v>
      </c>
      <c r="BF62" s="323">
        <f t="shared" si="6"/>
        <v>0</v>
      </c>
      <c r="BG62" s="323"/>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c r="CL62" s="323"/>
      <c r="CM62" s="323"/>
      <c r="CN62" s="323"/>
      <c r="CO62" s="323"/>
      <c r="CP62" s="323"/>
      <c r="CQ62" s="323"/>
      <c r="CR62" s="323"/>
      <c r="CS62" s="323"/>
      <c r="CT62" s="323"/>
      <c r="CU62" s="323"/>
      <c r="CV62" s="323"/>
      <c r="CW62" s="323"/>
      <c r="CX62" s="323"/>
      <c r="CY62" s="323"/>
      <c r="CZ62" s="323"/>
      <c r="EK62" s="1070"/>
      <c r="EL62" s="1070"/>
      <c r="EM62" s="1070"/>
      <c r="EN62" s="1070"/>
      <c r="EO62" s="1070"/>
      <c r="EP62" s="1070"/>
      <c r="EQ62" s="1070"/>
    </row>
    <row r="63" spans="2:147" ht="25.4" customHeight="1" x14ac:dyDescent="0.35">
      <c r="B63" s="181"/>
      <c r="C63" s="174"/>
      <c r="E63" s="182"/>
      <c r="G63" s="174"/>
      <c r="J63" s="182"/>
      <c r="K63" s="174"/>
      <c r="N63" s="176"/>
      <c r="O63" s="176"/>
      <c r="S63" s="183"/>
      <c r="V63" s="251"/>
      <c r="W63" s="323"/>
      <c r="X63" s="323"/>
      <c r="Y63" s="323"/>
      <c r="Z63" s="323" t="s">
        <v>63</v>
      </c>
      <c r="AA63" s="323">
        <f>W201+W211+W221+W231+W241</f>
        <v>25391.720386000001</v>
      </c>
      <c r="AB63" s="323">
        <f>X201+X211+X221+X231+X241</f>
        <v>14555.994309571441</v>
      </c>
      <c r="AC63" s="323" t="s">
        <v>64</v>
      </c>
      <c r="AD63" s="323" t="s">
        <v>63</v>
      </c>
      <c r="AE63" s="323">
        <f>SUM(Varmetab!D77:D81)</f>
        <v>1038.9695735033185</v>
      </c>
      <c r="AF63" s="323">
        <f>SUM(Varmetab!E77:E81)</f>
        <v>1071.991592222806</v>
      </c>
      <c r="AG63" s="323" t="s">
        <v>64</v>
      </c>
      <c r="AH63" s="323"/>
      <c r="AI63" s="323" t="str">
        <f>'LCA data'!$B$32</f>
        <v>Isolering</v>
      </c>
      <c r="AJ63" s="323">
        <f t="shared" si="7"/>
        <v>84345.3</v>
      </c>
      <c r="AK63" s="323">
        <f t="shared" si="7"/>
        <v>66159.68914285714</v>
      </c>
      <c r="AL63" s="323"/>
      <c r="AM63" s="323"/>
      <c r="AN63" s="323"/>
      <c r="AO63" s="323"/>
      <c r="AP63" s="323"/>
      <c r="AQ63" s="323"/>
      <c r="AR63" s="323"/>
      <c r="AS63" s="323"/>
      <c r="AT63" s="323"/>
      <c r="AU63" s="323"/>
      <c r="AV63" s="323"/>
      <c r="AW63" s="323"/>
      <c r="AX63" s="323"/>
      <c r="AY63" s="323"/>
      <c r="AZ63" s="323"/>
      <c r="BA63" s="323"/>
      <c r="BB63" s="323" t="str">
        <f>BB22</f>
        <v/>
      </c>
      <c r="BC63" s="323" t="str">
        <f>BC22</f>
        <v/>
      </c>
      <c r="BD63" s="323" t="str">
        <f>BD22</f>
        <v/>
      </c>
      <c r="BE63" s="323" t="str">
        <f>BE22</f>
        <v/>
      </c>
      <c r="BF63" s="323">
        <f>BF22</f>
        <v>0</v>
      </c>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c r="CL63" s="323"/>
      <c r="CM63" s="323"/>
      <c r="CN63" s="323"/>
      <c r="CO63" s="323"/>
      <c r="CP63" s="323"/>
      <c r="CQ63" s="323"/>
      <c r="CR63" s="323"/>
      <c r="CS63" s="323"/>
      <c r="CT63" s="323"/>
      <c r="CU63" s="323"/>
      <c r="CV63" s="323"/>
      <c r="CW63" s="323"/>
      <c r="CX63" s="323"/>
      <c r="CY63" s="323"/>
      <c r="CZ63" s="323"/>
      <c r="EK63" s="1070"/>
      <c r="EL63" s="1070"/>
      <c r="EM63" s="1070"/>
      <c r="EN63" s="1070"/>
      <c r="EO63" s="1070"/>
      <c r="EP63" s="1070"/>
      <c r="EQ63" s="1070"/>
    </row>
    <row r="64" spans="2:147" ht="25.4" customHeight="1" x14ac:dyDescent="0.35">
      <c r="B64" s="181"/>
      <c r="C64" s="174"/>
      <c r="E64" s="174"/>
      <c r="G64" s="174"/>
      <c r="J64" s="174"/>
      <c r="K64" s="174"/>
      <c r="N64" s="176"/>
      <c r="O64" s="176"/>
      <c r="S64" s="183"/>
      <c r="V64" s="251"/>
      <c r="W64" s="323"/>
      <c r="X64" s="323"/>
      <c r="Y64" s="323"/>
      <c r="Z64" s="323" t="s">
        <v>65</v>
      </c>
      <c r="AA64" s="323">
        <f>W286+W296+W305+W314+W323</f>
        <v>24514.332479999997</v>
      </c>
      <c r="AB64" s="323">
        <f>X286+X296+X305+X314+X323</f>
        <v>24514.332479999997</v>
      </c>
      <c r="AC64" s="323" t="s">
        <v>66</v>
      </c>
      <c r="AD64" s="323" t="s">
        <v>65</v>
      </c>
      <c r="AE64" s="323" t="e">
        <f>SUM(Varmetab!D82:D86)</f>
        <v>#VALUE!</v>
      </c>
      <c r="AF64" s="323" t="e">
        <f>SUM(Varmetab!E82:E86)</f>
        <v>#VALUE!</v>
      </c>
      <c r="AG64" s="323" t="s">
        <v>66</v>
      </c>
      <c r="AH64" s="323"/>
      <c r="AI64" s="323" t="str">
        <f>'LCA data'!$B$52</f>
        <v>Indvendig konstruktion</v>
      </c>
      <c r="AJ64" s="323">
        <f t="shared" si="7"/>
        <v>362575.9800000001</v>
      </c>
      <c r="AK64" s="323">
        <f t="shared" si="7"/>
        <v>758833.91999999981</v>
      </c>
      <c r="AL64" s="323"/>
      <c r="AM64" s="323"/>
      <c r="AN64" s="323"/>
      <c r="AO64" s="323"/>
      <c r="AP64" s="323"/>
      <c r="AQ64" s="323"/>
      <c r="AR64" s="323"/>
      <c r="AS64" s="323"/>
      <c r="AT64" s="323"/>
      <c r="AU64" s="323"/>
      <c r="AV64" s="323"/>
      <c r="AW64" s="323"/>
      <c r="AX64" s="323"/>
      <c r="AY64" s="323"/>
      <c r="AZ64" s="323"/>
      <c r="BA64" s="323"/>
      <c r="BB64" s="323" t="str">
        <f>BB24</f>
        <v/>
      </c>
      <c r="BC64" s="323" t="str">
        <f>BC24</f>
        <v/>
      </c>
      <c r="BD64" s="323" t="str">
        <f>BD24</f>
        <v/>
      </c>
      <c r="BE64" s="323" t="str">
        <f>BE24</f>
        <v/>
      </c>
      <c r="BF64" s="323">
        <f>BF24</f>
        <v>0</v>
      </c>
      <c r="BG64" s="323"/>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c r="CL64" s="323"/>
      <c r="CM64" s="323"/>
      <c r="CN64" s="323"/>
      <c r="CO64" s="323"/>
      <c r="CP64" s="323"/>
      <c r="CQ64" s="323"/>
      <c r="CR64" s="323"/>
      <c r="CS64" s="323"/>
      <c r="CT64" s="323"/>
      <c r="CU64" s="323"/>
      <c r="CV64" s="323"/>
      <c r="CW64" s="323"/>
      <c r="CX64" s="323"/>
      <c r="CY64" s="323"/>
      <c r="CZ64" s="323"/>
      <c r="EK64" s="1070"/>
      <c r="EL64" s="1070"/>
      <c r="EM64" s="1070"/>
      <c r="EN64" s="1070"/>
      <c r="EO64" s="1070"/>
      <c r="EP64" s="1070"/>
      <c r="EQ64" s="1070"/>
    </row>
    <row r="65" spans="2:222" ht="25.4" customHeight="1" x14ac:dyDescent="0.35">
      <c r="B65" s="181"/>
      <c r="C65" s="174"/>
      <c r="E65" s="174"/>
      <c r="G65" s="174"/>
      <c r="J65" s="174"/>
      <c r="K65" s="174"/>
      <c r="N65" s="176"/>
      <c r="O65" s="176"/>
      <c r="S65" s="183"/>
      <c r="V65" s="251"/>
      <c r="W65" s="323"/>
      <c r="X65" s="323"/>
      <c r="Y65" s="323"/>
      <c r="Z65" s="323" t="s">
        <v>67</v>
      </c>
      <c r="AA65" s="323">
        <f>W343+W363+W353+W373+W383</f>
        <v>18882.618803999998</v>
      </c>
      <c r="AB65" s="323">
        <f>X343+X363+X353+X373+X383</f>
        <v>1016.595906568421</v>
      </c>
      <c r="AC65" s="323" t="s">
        <v>68</v>
      </c>
      <c r="AD65" s="323"/>
      <c r="AE65" s="323" t="e">
        <f>SUM(AE61:AE64)</f>
        <v>#VALUE!</v>
      </c>
      <c r="AF65" s="323" t="e">
        <f>SUM(AF61:AF64)</f>
        <v>#VALUE!</v>
      </c>
      <c r="AG65" s="323"/>
      <c r="AH65" s="323"/>
      <c r="AI65" s="323" t="str">
        <f>'LCA data'!$B$65</f>
        <v>Indvendig beklædning</v>
      </c>
      <c r="AJ65" s="323">
        <f t="shared" si="7"/>
        <v>0</v>
      </c>
      <c r="AK65" s="323">
        <f t="shared" si="7"/>
        <v>119907.216</v>
      </c>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c r="CL65" s="323"/>
      <c r="CM65" s="323"/>
      <c r="CN65" s="323"/>
      <c r="CO65" s="323"/>
      <c r="CP65" s="323"/>
      <c r="CQ65" s="323"/>
      <c r="CR65" s="323"/>
      <c r="CS65" s="323"/>
      <c r="CT65" s="323"/>
      <c r="CU65" s="323"/>
      <c r="CV65" s="323"/>
      <c r="CW65" s="323"/>
      <c r="CX65" s="323"/>
      <c r="CY65" s="323"/>
      <c r="CZ65" s="323"/>
      <c r="EK65" s="1070"/>
      <c r="EL65" s="1070"/>
      <c r="EM65" s="1070"/>
      <c r="EN65" s="1070"/>
      <c r="EO65" s="1070"/>
      <c r="EP65" s="1070"/>
      <c r="EQ65" s="1070"/>
    </row>
    <row r="66" spans="2:222" ht="25.4" customHeight="1" x14ac:dyDescent="0.35">
      <c r="B66" s="184"/>
      <c r="C66" s="174"/>
      <c r="E66" s="174"/>
      <c r="G66" s="174"/>
      <c r="J66" s="174"/>
      <c r="K66" s="174"/>
      <c r="N66" s="176"/>
      <c r="O66" s="176"/>
      <c r="S66" s="183"/>
      <c r="V66" s="251"/>
      <c r="W66" s="323"/>
      <c r="X66" s="323"/>
      <c r="Y66" s="323"/>
      <c r="Z66" s="323" t="s">
        <v>69</v>
      </c>
      <c r="AA66" s="323">
        <f>W403+W413+W423+W433+W443</f>
        <v>17309.303394859486</v>
      </c>
      <c r="AB66" s="323">
        <f>X403+X413+X423+X433+X443</f>
        <v>3772.4106017000013</v>
      </c>
      <c r="AC66" s="323" t="s">
        <v>70</v>
      </c>
      <c r="AD66" s="323"/>
      <c r="AE66" s="323" t="s">
        <v>71</v>
      </c>
      <c r="AF66" s="323" t="str">
        <f>AE66</f>
        <v>kWh/m2/år</v>
      </c>
      <c r="AG66" s="323"/>
      <c r="AH66" s="323"/>
      <c r="AI66" s="323" t="s">
        <v>743</v>
      </c>
      <c r="AJ66" s="323">
        <f>SUM(AJ61:AJ65)</f>
        <v>879257.80800000019</v>
      </c>
      <c r="AK66" s="323">
        <f>SUM(AK61:AK65)</f>
        <v>1322613.3291428571</v>
      </c>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c r="CL66" s="323"/>
      <c r="CM66" s="323"/>
      <c r="CN66" s="323"/>
      <c r="CO66" s="323"/>
      <c r="CP66" s="323"/>
      <c r="CQ66" s="323"/>
      <c r="CR66" s="323"/>
      <c r="CS66" s="323"/>
      <c r="CT66" s="323"/>
      <c r="CU66" s="323"/>
      <c r="CV66" s="323"/>
      <c r="CW66" s="323"/>
      <c r="CX66" s="323"/>
      <c r="CY66" s="323"/>
      <c r="CZ66" s="323"/>
      <c r="EK66" s="1070"/>
      <c r="EL66" s="1070"/>
      <c r="EM66" s="1070"/>
      <c r="EN66" s="1070"/>
      <c r="EO66" s="1070"/>
      <c r="EP66" s="1070"/>
      <c r="EQ66" s="1070"/>
    </row>
    <row r="67" spans="2:222" ht="25.4" customHeight="1" x14ac:dyDescent="0.35">
      <c r="B67" s="181"/>
      <c r="C67" s="174"/>
      <c r="G67" s="174"/>
      <c r="J67" s="174"/>
      <c r="K67" s="174"/>
      <c r="N67" s="176"/>
      <c r="O67" s="176"/>
      <c r="S67" s="183"/>
      <c r="V67" s="251"/>
      <c r="W67" s="323"/>
      <c r="X67" s="323"/>
      <c r="Y67" s="323"/>
      <c r="Z67" s="323" t="s">
        <v>72</v>
      </c>
      <c r="AA67" s="642">
        <f>W532+W504</f>
        <v>24000</v>
      </c>
      <c r="AB67" s="642">
        <f>W532+X504</f>
        <v>24000</v>
      </c>
      <c r="AC67" s="323" t="s">
        <v>73</v>
      </c>
      <c r="AD67" s="323"/>
      <c r="AE67" s="323" t="e">
        <f>AE65/$J$21</f>
        <v>#VALUE!</v>
      </c>
      <c r="AF67" s="323" t="e">
        <f>AF65/$J$21</f>
        <v>#VALUE!</v>
      </c>
      <c r="AG67" s="323"/>
      <c r="AH67" s="323"/>
      <c r="AI67" s="323"/>
      <c r="AJ67" s="323"/>
      <c r="AK67" s="323"/>
      <c r="AL67" s="323"/>
      <c r="AM67" s="323"/>
      <c r="AN67" s="323" t="s">
        <v>864</v>
      </c>
      <c r="AO67" s="323" t="s">
        <v>4</v>
      </c>
      <c r="AP67" s="323">
        <f>AN73+AN84+AN95+AN106+AN117</f>
        <v>-971.1023784682817</v>
      </c>
      <c r="AQ67" s="323"/>
      <c r="AR67" s="323" t="s">
        <v>866</v>
      </c>
      <c r="AS67" s="323" t="s">
        <v>4</v>
      </c>
      <c r="AT67" s="323">
        <f>AR73+AR84+AR95+AR106+AR117</f>
        <v>0</v>
      </c>
      <c r="AU67" s="323"/>
      <c r="AV67" s="323"/>
      <c r="AW67" s="323"/>
      <c r="AX67" s="323"/>
      <c r="AY67" s="323"/>
      <c r="AZ67" s="323"/>
      <c r="BA67" s="323"/>
      <c r="BB67" s="323"/>
      <c r="BC67" s="323"/>
      <c r="BD67" s="323"/>
      <c r="BE67" s="323"/>
      <c r="BF67" s="323"/>
      <c r="BG67" s="323"/>
      <c r="BH67" s="323"/>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323"/>
      <c r="CE67" s="323"/>
      <c r="CF67" s="323"/>
      <c r="CG67" s="323"/>
      <c r="CH67" s="323"/>
      <c r="CI67" s="323"/>
      <c r="CJ67" s="323"/>
      <c r="CK67" s="323"/>
      <c r="CL67" s="323"/>
      <c r="CM67" s="323"/>
      <c r="CN67" s="323"/>
      <c r="CO67" s="323"/>
      <c r="CR67" s="323"/>
      <c r="CS67" s="323"/>
      <c r="CT67" s="323"/>
      <c r="CU67" s="323"/>
      <c r="CV67" s="323"/>
      <c r="CW67" s="323"/>
      <c r="CX67" s="323"/>
      <c r="CY67" s="323"/>
      <c r="CZ67" s="323"/>
      <c r="EK67" s="1070"/>
      <c r="EL67" s="1070"/>
      <c r="EM67" s="1070"/>
      <c r="EN67" s="1070"/>
      <c r="EO67" s="1070"/>
      <c r="EP67" s="1070"/>
      <c r="EQ67" s="1070"/>
    </row>
    <row r="68" spans="2:222" ht="25.4" customHeight="1" x14ac:dyDescent="0.35">
      <c r="B68" s="181"/>
      <c r="C68" s="174"/>
      <c r="E68" s="174"/>
      <c r="G68" s="174"/>
      <c r="J68" s="174"/>
      <c r="K68" s="174"/>
      <c r="N68" s="176"/>
      <c r="O68" s="176"/>
      <c r="S68" s="183"/>
      <c r="V68" s="251"/>
      <c r="W68" s="323"/>
      <c r="X68" s="323"/>
      <c r="Y68" s="323"/>
      <c r="Z68" s="323" t="s">
        <v>774</v>
      </c>
      <c r="AA68" s="323">
        <f>W464+W475+W485</f>
        <v>0</v>
      </c>
      <c r="AB68" s="323">
        <f>X464+X475+X485</f>
        <v>0</v>
      </c>
      <c r="AC68" s="323" t="s">
        <v>74</v>
      </c>
      <c r="AD68" s="323"/>
      <c r="AE68" s="323" t="s">
        <v>75</v>
      </c>
      <c r="AF68" s="323" t="s">
        <v>75</v>
      </c>
      <c r="AG68" s="323"/>
      <c r="AH68" s="323"/>
      <c r="AI68" s="323"/>
      <c r="AJ68" s="323"/>
      <c r="AK68" s="323"/>
      <c r="AL68" s="323"/>
      <c r="AM68" s="323"/>
      <c r="AN68" s="323" t="s">
        <v>865</v>
      </c>
      <c r="AO68" s="323" t="s">
        <v>5</v>
      </c>
      <c r="AP68" s="323"/>
      <c r="AQ68" s="323">
        <f>AO73+AO84+AO95+AO106+AO117</f>
        <v>-11170.779101401264</v>
      </c>
      <c r="AR68" s="323" t="s">
        <v>866</v>
      </c>
      <c r="AS68" s="323" t="s">
        <v>5</v>
      </c>
      <c r="AT68" s="323"/>
      <c r="AU68" s="323">
        <f>AS73+AS84+AS95+AS106+AS117</f>
        <v>15811.286400000001</v>
      </c>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c r="CF68" s="323"/>
      <c r="CG68" s="323"/>
      <c r="CH68" s="323"/>
      <c r="CI68" s="323"/>
      <c r="CJ68" s="323"/>
      <c r="CK68" s="323"/>
      <c r="CL68" s="323"/>
      <c r="CM68" s="323"/>
      <c r="CN68" s="323"/>
      <c r="CO68" s="323"/>
      <c r="CP68" s="428"/>
      <c r="CQ68" s="428"/>
      <c r="CR68" s="323"/>
      <c r="CS68" s="323"/>
      <c r="CT68" s="323"/>
      <c r="CU68" s="323"/>
      <c r="CV68" s="323"/>
      <c r="CW68" s="323"/>
      <c r="CX68" s="323"/>
      <c r="CY68" s="323"/>
      <c r="CZ68" s="323"/>
      <c r="EK68" s="1070"/>
      <c r="EL68" s="1070"/>
      <c r="EM68" s="1070"/>
      <c r="EN68" s="1070"/>
      <c r="EO68" s="1070"/>
      <c r="EP68" s="1070"/>
      <c r="EQ68" s="1070"/>
    </row>
    <row r="69" spans="2:222" ht="37" customHeight="1" thickBot="1" x14ac:dyDescent="0.4">
      <c r="B69" s="185"/>
      <c r="C69" s="186"/>
      <c r="D69" s="186"/>
      <c r="E69" s="186"/>
      <c r="F69" s="186"/>
      <c r="G69" s="186"/>
      <c r="H69" s="187"/>
      <c r="I69" s="187"/>
      <c r="J69" s="186"/>
      <c r="K69" s="186"/>
      <c r="L69" s="187"/>
      <c r="M69" s="187"/>
      <c r="N69" s="188"/>
      <c r="O69" s="188"/>
      <c r="P69" s="187"/>
      <c r="Q69" s="187"/>
      <c r="R69" s="187"/>
      <c r="S69" s="189"/>
      <c r="V69" s="251"/>
      <c r="W69" s="323"/>
      <c r="X69" s="323"/>
      <c r="Y69" s="323"/>
      <c r="Z69" s="323" t="s">
        <v>823</v>
      </c>
      <c r="AA69" s="323">
        <f>W260</f>
        <v>15295.499999999998</v>
      </c>
      <c r="AB69" s="323">
        <f>X260</f>
        <v>4894.2</v>
      </c>
      <c r="AC69" s="323"/>
      <c r="AD69" s="323"/>
      <c r="AE69" s="323" t="e">
        <f>AE67*_xlfn.XLOOKUP(Scenarier!$X$11,Antagelser!$I$365:$I$372,Antagelser!$N$365:$N$372)</f>
        <v>#VALUE!</v>
      </c>
      <c r="AF69" s="323" t="e">
        <f>AF67*_xlfn.XLOOKUP(Scenarier!$X$11,Antagelser!$I$365:$I$372,Antagelser!$N$365:$N$372)</f>
        <v>#VALUE!</v>
      </c>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323"/>
      <c r="BU69" s="323"/>
      <c r="BV69" s="323"/>
      <c r="BW69" s="323"/>
      <c r="BX69" s="323"/>
      <c r="BY69" s="323"/>
      <c r="BZ69" s="323"/>
      <c r="CA69" s="323"/>
      <c r="CB69" s="323"/>
      <c r="CC69" s="323"/>
      <c r="CD69" s="323"/>
      <c r="CE69" s="323"/>
      <c r="CF69" s="323"/>
      <c r="CG69" s="323"/>
      <c r="CH69" s="323"/>
      <c r="CI69" s="323"/>
      <c r="CJ69" s="323"/>
      <c r="CK69" s="323"/>
      <c r="CL69" s="323"/>
      <c r="CM69" s="323"/>
      <c r="CN69" s="323"/>
      <c r="CO69" s="323"/>
      <c r="CP69" s="428"/>
      <c r="CQ69" s="428"/>
      <c r="CR69" s="323"/>
      <c r="CS69" s="323"/>
      <c r="CT69" s="323"/>
      <c r="CU69" s="323"/>
      <c r="CV69" s="323"/>
      <c r="CW69" s="323"/>
      <c r="CX69" s="323"/>
      <c r="CY69" s="323"/>
      <c r="CZ69" s="323"/>
      <c r="EK69" s="1070"/>
      <c r="EL69" s="1070"/>
      <c r="EM69" s="1070"/>
      <c r="EN69" s="1070"/>
      <c r="EO69" s="1070"/>
      <c r="EP69" s="1070"/>
      <c r="EQ69" s="1070"/>
    </row>
    <row r="70" spans="2:222" ht="13.4" customHeight="1" thickBot="1" x14ac:dyDescent="0.4">
      <c r="F70" s="174"/>
      <c r="G70" s="174"/>
      <c r="J70" s="174"/>
      <c r="K70" s="174"/>
      <c r="N70" s="176"/>
      <c r="O70" s="176"/>
      <c r="S70" s="174"/>
      <c r="V70" s="251"/>
      <c r="W70" s="323"/>
      <c r="X70" s="323"/>
      <c r="Y70" s="323"/>
      <c r="Z70" s="323"/>
      <c r="AA70" s="323"/>
      <c r="AB70" s="323"/>
      <c r="AC70" s="323"/>
      <c r="AD70" s="323"/>
      <c r="AE70" s="323" t="e">
        <f>AE67-AE69</f>
        <v>#VALUE!</v>
      </c>
      <c r="AF70" s="323" t="e">
        <f>AF67-AF69</f>
        <v>#VALUE!</v>
      </c>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c r="CF70" s="323"/>
      <c r="CG70" s="323"/>
      <c r="CH70" s="323"/>
      <c r="CI70" s="323"/>
      <c r="CJ70" s="323"/>
      <c r="CK70" s="323"/>
      <c r="CL70" s="323"/>
      <c r="CM70" s="323"/>
      <c r="CN70" s="323"/>
      <c r="CO70" s="323"/>
      <c r="CP70" s="428"/>
      <c r="CQ70" s="428"/>
      <c r="CR70" s="323"/>
      <c r="CS70" s="323"/>
      <c r="CT70" s="323"/>
      <c r="CU70" s="323"/>
      <c r="CV70" s="323"/>
      <c r="CW70" s="323"/>
      <c r="CX70" s="323"/>
      <c r="CY70" s="323"/>
      <c r="CZ70" s="323"/>
      <c r="EK70" s="1070"/>
      <c r="EL70" s="1070"/>
      <c r="EM70" s="1070"/>
      <c r="EN70" s="1070"/>
      <c r="EO70" s="1070"/>
      <c r="EP70" s="1070"/>
      <c r="EQ70" s="1070"/>
    </row>
    <row r="71" spans="2:222" ht="31.5" customHeight="1" x14ac:dyDescent="0.35">
      <c r="B71" s="492" t="s">
        <v>112</v>
      </c>
      <c r="C71" s="506" t="s">
        <v>771</v>
      </c>
      <c r="D71" s="506" t="s">
        <v>76</v>
      </c>
      <c r="E71" s="506" t="s">
        <v>76</v>
      </c>
      <c r="F71" s="499"/>
      <c r="G71" s="499"/>
      <c r="H71" s="499"/>
      <c r="I71" s="500" t="str">
        <f>"Ydervæg"&amp;" "&amp;1</f>
        <v>Ydervæg 1</v>
      </c>
      <c r="J71" s="500"/>
      <c r="K71" s="499"/>
      <c r="L71" s="499"/>
      <c r="M71" s="499"/>
      <c r="N71" s="499"/>
      <c r="O71" s="499"/>
      <c r="P71" s="499"/>
      <c r="Q71" s="501"/>
      <c r="R71" s="190"/>
      <c r="S71" s="191"/>
      <c r="V71" s="251"/>
      <c r="W71" s="323">
        <f>IF(E74=$C$72,1,0)</f>
        <v>0</v>
      </c>
      <c r="X71" s="323">
        <f>IF(J74=$C$72,1,0)</f>
        <v>0</v>
      </c>
      <c r="Y71" s="323"/>
      <c r="Z71" s="323" t="s">
        <v>85</v>
      </c>
      <c r="AA71" s="323">
        <f>SUM(AA61:AA69)</f>
        <v>183971.14802135967</v>
      </c>
      <c r="AB71" s="323">
        <f>SUM(AB61:AB69)</f>
        <v>83796.895537264238</v>
      </c>
      <c r="AC71" s="323"/>
      <c r="AD71" s="323"/>
      <c r="AE71" s="323" t="e">
        <f>VLOOKUP(M21,Antagelser!B21:C24,2,FALSE)*AE67</f>
        <v>#VALUE!</v>
      </c>
      <c r="AF71" s="323"/>
      <c r="AG71" s="323"/>
      <c r="AH71" s="323"/>
      <c r="AI71" s="323"/>
      <c r="AJ71" s="323" t="s">
        <v>746</v>
      </c>
      <c r="AK71" s="323" t="s">
        <v>747</v>
      </c>
      <c r="AL71" s="323"/>
      <c r="AM71" s="323"/>
      <c r="AN71" s="323" t="s">
        <v>846</v>
      </c>
      <c r="AO71" s="323"/>
      <c r="AP71" s="323"/>
      <c r="AQ71" s="323"/>
      <c r="AR71" s="323" t="s">
        <v>851</v>
      </c>
      <c r="AS71" s="323"/>
      <c r="AT71" s="323"/>
      <c r="AU71" s="323"/>
      <c r="AV71" s="323"/>
      <c r="AW71" s="323"/>
      <c r="AX71" s="323"/>
      <c r="AY71" s="323"/>
      <c r="AZ71" s="323"/>
      <c r="BA71" s="323"/>
      <c r="BB71" s="323"/>
      <c r="BC71" s="323"/>
      <c r="BD71" s="323"/>
      <c r="BE71" s="323"/>
      <c r="BF71" s="323"/>
      <c r="BG71" s="323"/>
      <c r="BH71" s="323"/>
      <c r="BI71" s="323"/>
      <c r="BJ71" s="323"/>
      <c r="BK71" s="323"/>
      <c r="BL71" s="323"/>
      <c r="BM71" s="323"/>
      <c r="BN71" s="323"/>
      <c r="BO71" s="323"/>
      <c r="BP71" s="323"/>
      <c r="BQ71" s="323"/>
      <c r="BR71" s="323"/>
      <c r="BS71" s="323"/>
      <c r="BT71" s="323"/>
      <c r="BU71" s="323"/>
      <c r="BV71" s="323"/>
      <c r="BW71" s="323"/>
      <c r="BX71" s="323"/>
      <c r="BY71" s="323"/>
      <c r="BZ71" s="323"/>
      <c r="CA71" s="323"/>
      <c r="CB71" s="323"/>
      <c r="CC71" s="323"/>
      <c r="CD71" s="323"/>
      <c r="CE71" s="323"/>
      <c r="CF71" s="323"/>
      <c r="CG71" s="323"/>
      <c r="CH71" s="323"/>
      <c r="CI71" s="323"/>
      <c r="CJ71" s="323"/>
      <c r="CK71" s="323"/>
      <c r="CL71" s="323"/>
      <c r="CM71" s="323"/>
      <c r="CN71" s="323"/>
      <c r="CO71" s="323"/>
      <c r="CP71" s="428"/>
      <c r="CQ71" s="428"/>
      <c r="CR71" s="323"/>
      <c r="CS71" s="323"/>
      <c r="CT71" s="323"/>
      <c r="CU71" s="323"/>
      <c r="CV71" s="323"/>
      <c r="CW71" s="323"/>
      <c r="CX71" s="323"/>
      <c r="CY71" s="323"/>
      <c r="CZ71" s="323"/>
      <c r="EK71" s="1070"/>
      <c r="EL71" s="1070"/>
      <c r="EM71" s="1070"/>
      <c r="EN71" s="1070"/>
      <c r="EO71" s="1070"/>
      <c r="EP71" s="1070"/>
      <c r="EQ71" s="1070"/>
    </row>
    <row r="72" spans="2:222" ht="40.4" customHeight="1" x14ac:dyDescent="0.35">
      <c r="B72" s="359" t="s">
        <v>78</v>
      </c>
      <c r="C72" s="494" t="s">
        <v>827</v>
      </c>
      <c r="D72" s="1017" t="str">
        <f>IF(E74=C72,"Scenarie 1: Din Opbygning","Scenarie 1: "&amp;X27)</f>
        <v>Scenarie 1: Tung Konventionel</v>
      </c>
      <c r="E72" s="1018"/>
      <c r="F72" s="1018"/>
      <c r="G72" s="1018"/>
      <c r="H72" s="1019"/>
      <c r="I72" s="893" t="str">
        <f>IF(J74=$C$72,"Scenarie 2: Din Opbygning","Scenarie 2: "&amp;Y27)</f>
        <v>Scenarie 2: Let Lav Emission</v>
      </c>
      <c r="J72" s="894"/>
      <c r="K72" s="894"/>
      <c r="L72" s="894"/>
      <c r="M72" s="895"/>
      <c r="N72" s="877" t="s">
        <v>79</v>
      </c>
      <c r="O72" s="877"/>
      <c r="P72" s="877"/>
      <c r="Q72" s="877"/>
      <c r="R72" s="192"/>
      <c r="S72" s="193"/>
      <c r="T72" s="175"/>
      <c r="V72" s="251"/>
      <c r="W72" s="323"/>
      <c r="X72" s="323"/>
      <c r="Y72" s="323"/>
      <c r="Z72" s="323" t="s">
        <v>873</v>
      </c>
      <c r="AA72" s="323">
        <f>SUM(AP:AP)</f>
        <v>-23330.831896698699</v>
      </c>
      <c r="AB72" s="323">
        <f>SUM(AQ:AQ)</f>
        <v>-52725.351417536694</v>
      </c>
      <c r="AC72" s="323"/>
      <c r="AD72" s="323"/>
      <c r="AE72" s="323"/>
      <c r="AF72" s="323"/>
      <c r="AG72" s="323"/>
      <c r="AH72" s="323"/>
      <c r="AI72" s="323" t="str">
        <f>'LCA data'!$B$8</f>
        <v>Udvendig beklædning</v>
      </c>
      <c r="AJ72" s="323">
        <f>VLOOKUP(E75,Pris.udvendig.beklædning[],2,0)*$C$75</f>
        <v>432336.52800000005</v>
      </c>
      <c r="AK72" s="323">
        <f>VLOOKUP(J75,Pris.udvendig.beklædning[],2,0)*$C$75</f>
        <v>349632.50400000007</v>
      </c>
      <c r="AL72" s="323"/>
      <c r="AM72" s="323"/>
      <c r="AN72" s="323" t="s">
        <v>4</v>
      </c>
      <c r="AO72" s="323" t="s">
        <v>5</v>
      </c>
      <c r="AP72" s="323"/>
      <c r="AQ72" s="323"/>
      <c r="AR72" s="323" t="s">
        <v>4</v>
      </c>
      <c r="AS72" s="323" t="s">
        <v>5</v>
      </c>
      <c r="AT72" s="323"/>
      <c r="AU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323"/>
      <c r="BU72" s="323"/>
      <c r="BV72" s="323"/>
      <c r="BW72" s="323"/>
      <c r="BX72" s="323"/>
      <c r="BY72" s="323"/>
      <c r="BZ72" s="323"/>
      <c r="CA72" s="323"/>
      <c r="CB72" s="323"/>
      <c r="CC72" s="323"/>
      <c r="CD72" s="323"/>
      <c r="CE72" s="323"/>
      <c r="CF72" s="323"/>
      <c r="CG72" s="323"/>
      <c r="CH72" s="323"/>
      <c r="CI72" s="323"/>
      <c r="CJ72" s="323"/>
      <c r="CK72" s="323"/>
      <c r="CL72" s="323"/>
      <c r="CM72" s="323"/>
      <c r="CN72" s="323"/>
      <c r="CO72" s="323"/>
      <c r="CP72" s="428"/>
      <c r="CQ72" s="428"/>
      <c r="CR72" s="323"/>
      <c r="CS72" s="323"/>
      <c r="CT72" s="323"/>
      <c r="CU72" s="323"/>
      <c r="CV72" s="323"/>
      <c r="CW72" s="323"/>
      <c r="CX72" s="323"/>
      <c r="CY72" s="323"/>
      <c r="CZ72" s="323"/>
      <c r="EK72" s="1070"/>
      <c r="EL72" s="1070"/>
      <c r="EM72" s="1070"/>
      <c r="EN72" s="1070"/>
      <c r="EO72" s="1070"/>
      <c r="EP72" s="1070"/>
      <c r="EQ72" s="1070"/>
    </row>
    <row r="73" spans="2:222" ht="40.4" customHeight="1" x14ac:dyDescent="0.35">
      <c r="B73" s="194"/>
      <c r="C73" s="195" t="s">
        <v>80</v>
      </c>
      <c r="D73" s="920" t="s">
        <v>81</v>
      </c>
      <c r="E73" s="921"/>
      <c r="F73" s="338" t="s">
        <v>82</v>
      </c>
      <c r="G73" s="338" t="s">
        <v>83</v>
      </c>
      <c r="H73" s="346" t="s">
        <v>84</v>
      </c>
      <c r="I73" s="891" t="s">
        <v>81</v>
      </c>
      <c r="J73" s="892"/>
      <c r="K73" s="479" t="s">
        <v>82</v>
      </c>
      <c r="L73" s="479" t="s">
        <v>83</v>
      </c>
      <c r="M73" s="508" t="s">
        <v>84</v>
      </c>
      <c r="N73" s="195" t="s">
        <v>4</v>
      </c>
      <c r="O73" s="195" t="s">
        <v>85</v>
      </c>
      <c r="P73" s="195" t="s">
        <v>5</v>
      </c>
      <c r="Q73" s="195" t="s">
        <v>86</v>
      </c>
      <c r="R73" s="192"/>
      <c r="S73" s="196"/>
      <c r="V73" s="251"/>
      <c r="W73" s="323" t="s">
        <v>87</v>
      </c>
      <c r="X73" s="323" t="s">
        <v>88</v>
      </c>
      <c r="Y73" s="323" t="s">
        <v>89</v>
      </c>
      <c r="Z73" s="323" t="s">
        <v>90</v>
      </c>
      <c r="AA73" s="323" t="s">
        <v>91</v>
      </c>
      <c r="AB73" s="323"/>
      <c r="AC73" s="323"/>
      <c r="AD73" s="323"/>
      <c r="AE73" s="323" t="s">
        <v>92</v>
      </c>
      <c r="AF73" s="323"/>
      <c r="AG73" s="323"/>
      <c r="AH73" s="323"/>
      <c r="AI73" s="323" t="str">
        <f>'LCA data'!$B$25</f>
        <v>Udvendig konstruktion</v>
      </c>
      <c r="AJ73" s="323">
        <f>VLOOKUP(E76,Pris.udvendig.konstruktion[],2,0)*$C$76</f>
        <v>0</v>
      </c>
      <c r="AK73" s="323">
        <f>VLOOKUP(J76,Pris.udvendig.konstruktion[],2,0)*$C$76</f>
        <v>28080</v>
      </c>
      <c r="AL73" s="323"/>
      <c r="AM73" s="323"/>
      <c r="AN73" s="323">
        <f>SUM(AN75:AN79)</f>
        <v>-971.1023784682817</v>
      </c>
      <c r="AO73" s="323">
        <f>SUM(AO75:AO79)</f>
        <v>-11170.779101401264</v>
      </c>
      <c r="AP73" s="323"/>
      <c r="AQ73" s="323"/>
      <c r="AR73" s="323">
        <f>SUM(AR75:AR78)</f>
        <v>0</v>
      </c>
      <c r="AS73" s="323">
        <f>SUM(AS75:AS78)</f>
        <v>15811.286400000001</v>
      </c>
      <c r="AT73" s="323"/>
      <c r="AU73" s="323"/>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c r="CF73" s="323"/>
      <c r="CG73" s="323"/>
      <c r="CH73" s="323"/>
      <c r="CI73" s="323"/>
      <c r="CJ73" s="323"/>
      <c r="CK73" s="323"/>
      <c r="CL73" s="323"/>
      <c r="CM73" s="323"/>
      <c r="CN73" s="323"/>
      <c r="CO73" s="323"/>
      <c r="CP73" s="428"/>
      <c r="CQ73" s="428"/>
      <c r="CR73" s="323"/>
      <c r="CS73" s="323"/>
      <c r="CT73" s="323"/>
      <c r="CU73" s="323"/>
      <c r="CV73" s="323"/>
      <c r="CW73" s="323"/>
      <c r="CX73" s="323"/>
      <c r="CY73" s="323"/>
      <c r="CZ73" s="323"/>
      <c r="EK73" s="1070"/>
      <c r="EL73" s="1070"/>
      <c r="EM73" s="1070"/>
      <c r="EN73" s="1070"/>
      <c r="EO73" s="1070"/>
      <c r="EP73" s="1070"/>
      <c r="EQ73" s="1070"/>
    </row>
    <row r="74" spans="2:222" s="198" customFormat="1" ht="26" customHeight="1" x14ac:dyDescent="0.35">
      <c r="B74" s="199"/>
      <c r="C74" s="200" t="s">
        <v>93</v>
      </c>
      <c r="D74" s="301" t="s">
        <v>828</v>
      </c>
      <c r="E74" s="300" t="str">
        <f>$C$28</f>
        <v>Benyt Standard</v>
      </c>
      <c r="F74" s="347" t="s">
        <v>94</v>
      </c>
      <c r="G74" s="348" t="s">
        <v>95</v>
      </c>
      <c r="H74" s="349" t="s">
        <v>96</v>
      </c>
      <c r="I74" s="509" t="s">
        <v>828</v>
      </c>
      <c r="J74" s="300" t="str">
        <f>$E$28</f>
        <v>Benyt Standard</v>
      </c>
      <c r="K74" s="510" t="s">
        <v>94</v>
      </c>
      <c r="L74" s="511" t="s">
        <v>95</v>
      </c>
      <c r="M74" s="512" t="s">
        <v>96</v>
      </c>
      <c r="N74" s="201" t="s">
        <v>97</v>
      </c>
      <c r="O74" s="201" t="s">
        <v>97</v>
      </c>
      <c r="P74" s="201" t="s">
        <v>97</v>
      </c>
      <c r="Q74" s="201" t="s">
        <v>97</v>
      </c>
      <c r="R74" s="202"/>
      <c r="S74" s="203"/>
      <c r="T74" s="204"/>
      <c r="U74" s="204"/>
      <c r="V74" s="325"/>
      <c r="W74" s="323">
        <f>SUM(W75:W79)</f>
        <v>37932.597864930933</v>
      </c>
      <c r="X74" s="323">
        <f>SUM(X75:X79)</f>
        <v>5315.4307118311581</v>
      </c>
      <c r="Y74" s="323"/>
      <c r="Z74" s="323"/>
      <c r="AA74" s="323"/>
      <c r="AB74" s="323" t="s">
        <v>1099</v>
      </c>
      <c r="AC74" s="323" t="s">
        <v>98</v>
      </c>
      <c r="AD74" s="323" t="s">
        <v>99</v>
      </c>
      <c r="AE74" s="323" t="s">
        <v>100</v>
      </c>
      <c r="AF74" s="323"/>
      <c r="AG74" s="323"/>
      <c r="AH74" s="323"/>
      <c r="AI74" s="323" t="str">
        <f>'LCA data'!$B$32</f>
        <v>Isolering</v>
      </c>
      <c r="AJ74" s="323">
        <f>VLOOKUP(E77,Pris.isolering[],2,0)*F77*C77</f>
        <v>84345.3</v>
      </c>
      <c r="AK74" s="323">
        <f>VLOOKUP(J77,Pris.isolering[],2,0)*K77*C77</f>
        <v>66159.68914285714</v>
      </c>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c r="CL74" s="323"/>
      <c r="CM74" s="323"/>
      <c r="CN74" s="323"/>
      <c r="CO74" s="323"/>
      <c r="CP74" s="428"/>
      <c r="CQ74" s="428"/>
      <c r="CR74" s="323"/>
      <c r="CS74" s="323"/>
      <c r="CT74" s="323"/>
      <c r="CU74" s="323"/>
      <c r="CV74" s="323"/>
      <c r="CW74" s="323"/>
      <c r="CX74" s="323"/>
      <c r="CY74" s="323"/>
      <c r="CZ74" s="323"/>
      <c r="DA74" s="325"/>
      <c r="DB74" s="325"/>
      <c r="DC74" s="325"/>
      <c r="DD74" s="325"/>
      <c r="DE74" s="325"/>
      <c r="DF74" s="325"/>
      <c r="DG74" s="325"/>
      <c r="DH74" s="325"/>
      <c r="DI74" s="325"/>
      <c r="DJ74" s="325"/>
      <c r="DK74" s="325"/>
      <c r="DL74" s="325"/>
      <c r="DM74" s="325"/>
      <c r="DN74" s="325"/>
      <c r="DO74" s="325"/>
      <c r="DP74" s="325"/>
      <c r="DQ74" s="325"/>
      <c r="DR74" s="325"/>
      <c r="DS74" s="325"/>
      <c r="DT74" s="325"/>
      <c r="DU74" s="325"/>
      <c r="DV74" s="325"/>
      <c r="DW74" s="325"/>
      <c r="DX74" s="325"/>
      <c r="DY74" s="325"/>
      <c r="DZ74" s="325"/>
      <c r="EA74" s="325"/>
      <c r="EB74" s="325"/>
      <c r="EC74" s="325"/>
      <c r="ED74" s="325"/>
      <c r="EE74" s="325"/>
      <c r="EF74" s="325"/>
      <c r="EG74" s="325"/>
      <c r="EH74" s="325"/>
      <c r="EI74" s="325"/>
      <c r="EJ74" s="325"/>
      <c r="EK74" s="1072"/>
      <c r="EL74" s="1072"/>
      <c r="EM74" s="1072"/>
      <c r="EN74" s="1072"/>
      <c r="EO74" s="1072"/>
      <c r="EP74" s="1072"/>
      <c r="EQ74" s="1072"/>
      <c r="ER74" s="325"/>
      <c r="ES74" s="325"/>
      <c r="ET74" s="325"/>
      <c r="EU74" s="325"/>
      <c r="EV74" s="325"/>
      <c r="EW74" s="325"/>
      <c r="EX74" s="325"/>
      <c r="EY74" s="325"/>
      <c r="EZ74" s="325"/>
      <c r="FA74" s="325"/>
      <c r="FB74" s="325"/>
      <c r="FC74" s="325"/>
      <c r="FD74" s="325"/>
      <c r="FE74" s="325"/>
      <c r="FF74" s="325"/>
      <c r="FG74" s="325"/>
      <c r="FH74" s="325"/>
      <c r="FI74" s="325"/>
      <c r="FJ74" s="325"/>
      <c r="FK74" s="325"/>
      <c r="FL74" s="325"/>
      <c r="FM74" s="325"/>
      <c r="FN74" s="325"/>
      <c r="FO74" s="325"/>
      <c r="FP74" s="325"/>
      <c r="FQ74" s="325"/>
      <c r="FR74" s="325"/>
      <c r="FS74" s="325"/>
      <c r="FT74" s="325"/>
      <c r="FU74" s="325"/>
      <c r="FV74" s="325"/>
      <c r="FW74" s="325"/>
      <c r="FX74" s="325"/>
      <c r="FY74" s="325"/>
      <c r="FZ74" s="325"/>
      <c r="GA74" s="325"/>
      <c r="GB74" s="325"/>
      <c r="GC74" s="325"/>
      <c r="GD74" s="325"/>
      <c r="GE74" s="325"/>
      <c r="GF74" s="325"/>
      <c r="GG74" s="325"/>
      <c r="GH74" s="325"/>
      <c r="GI74" s="325"/>
      <c r="GJ74" s="325"/>
      <c r="GK74" s="325"/>
      <c r="GL74" s="325"/>
      <c r="GM74" s="325"/>
      <c r="GN74" s="325"/>
      <c r="GO74" s="325"/>
      <c r="GP74" s="325"/>
      <c r="GQ74" s="325"/>
      <c r="GR74" s="325"/>
      <c r="GS74" s="325"/>
      <c r="GT74" s="325"/>
      <c r="GU74" s="325"/>
      <c r="GV74" s="325"/>
      <c r="GW74" s="325"/>
      <c r="GX74" s="325"/>
      <c r="GY74" s="325"/>
      <c r="GZ74" s="325"/>
      <c r="HA74" s="325"/>
      <c r="HB74" s="325"/>
      <c r="HC74" s="325"/>
      <c r="HD74" s="325"/>
      <c r="HE74" s="325"/>
      <c r="HF74" s="325"/>
      <c r="HG74" s="325"/>
      <c r="HH74" s="325"/>
      <c r="HI74" s="325"/>
      <c r="HJ74" s="325"/>
      <c r="HK74" s="325"/>
      <c r="HL74" s="325"/>
      <c r="HM74" s="325"/>
      <c r="HN74" s="325"/>
    </row>
    <row r="75" spans="2:222" ht="40.4" customHeight="1" x14ac:dyDescent="0.35">
      <c r="B75" s="205" t="str">
        <f>'LCA data'!$B$8</f>
        <v>Udvendig beklædning</v>
      </c>
      <c r="C75" s="463">
        <f>IF($C$42-C86-C97-C108-C119&lt;0,0,$C$42-C86-C97-C108-C119)</f>
        <v>280.8</v>
      </c>
      <c r="D75" s="15" t="s">
        <v>103</v>
      </c>
      <c r="E75" s="342" t="str">
        <f>IF($E$74=$C$72,D75,VLOOKUP(B75,Auto_Ydervæg[],VLOOKUP($X$27,Type_Tung_Middel_Let[],2,0),0))</f>
        <v>Tegl</v>
      </c>
      <c r="F75" s="356">
        <f>(VLOOKUP(E75,Pris.udvendig.beklædning[],4,0))/1000</f>
        <v>0.108</v>
      </c>
      <c r="G75" s="350"/>
      <c r="H75" s="351">
        <f>IFERROR(IF(VLOOKUP(B75&amp;"_"&amp;E75,'LCA data'!$B$7:$X$200,2,FALSE)&lt;$Y$24,1,0)+IF(VLOOKUP(B75&amp;"_"&amp;E75,'LCA data'!$B$7:$X$200,2,FALSE)*2&lt;$Y$24,1,0),"")</f>
        <v>0</v>
      </c>
      <c r="I75" s="15" t="s">
        <v>103</v>
      </c>
      <c r="J75" s="345" t="str">
        <f>IF($J$74=$C$72,I75,VLOOKUP(B75,Auto_Ydervæg[],VLOOKUP($Y$27,Type_Tung_Middel_Let[],2,0),0))</f>
        <v xml:space="preserve">Træ </v>
      </c>
      <c r="K75" s="513">
        <f>(VLOOKUP(J75,Pris.udvendig.beklædning[],4,0))/1000</f>
        <v>2.5000000000000001E-2</v>
      </c>
      <c r="L75" s="514"/>
      <c r="M75" s="515">
        <f>IFERROR(IF(VLOOKUP(B75&amp;"_"&amp;J75,'LCA data'!$B$7:$X$200,2,FALSE)&lt;$Y$24,1,0)+IF(VLOOKUP(B75&amp;"_"&amp;J75,'LCA data'!$B$7:$X$200,2,FALSE)*2&lt;$Y$24,1,0),"")</f>
        <v>0</v>
      </c>
      <c r="N75" s="206">
        <f>W75/1000</f>
        <v>25.04401196939493</v>
      </c>
      <c r="O75" s="878">
        <f>SUM(N75:N79)</f>
        <v>37.932597864930933</v>
      </c>
      <c r="P75" s="207">
        <f>X75/1000</f>
        <v>1.8278451556560003</v>
      </c>
      <c r="Q75" s="880">
        <f>SUM(P75:P79)</f>
        <v>5.3154307118311586</v>
      </c>
      <c r="R75" s="192"/>
      <c r="S75" s="196"/>
      <c r="V75" s="251"/>
      <c r="W75" s="323">
        <f>IF(E75="Angiv ikke",0,((1+H75)*VLOOKUP(B75&amp;"_"&amp;E75,'LCA data'!$B$7:$X$360,19,FALSE)*(F75*10^3)*C75))</f>
        <v>25044.011969394931</v>
      </c>
      <c r="X75" s="323">
        <f>IF(J75="Angiv ikke",0,((1+M75)*VLOOKUP(B75&amp;"_"&amp;J75,'LCA data'!$B$7:$X$360,19,FALSE)*(K75*10^3)*C75))</f>
        <v>1827.8451556560003</v>
      </c>
      <c r="Y75" s="323"/>
      <c r="Z75" s="323"/>
      <c r="AA75" s="323" t="s">
        <v>4</v>
      </c>
      <c r="AB75" s="323">
        <f>AF75/$J$21/$Y$24*1000</f>
        <v>1.8966298932465468</v>
      </c>
      <c r="AC75" s="323">
        <f>Varmetab!H67</f>
        <v>0.51345227490286982</v>
      </c>
      <c r="AD75" s="323">
        <f>AB75+AC75</f>
        <v>2.4100821681494167</v>
      </c>
      <c r="AE75" s="323" t="s">
        <v>4</v>
      </c>
      <c r="AF75" s="323">
        <f>W74/1000</f>
        <v>37.932597864930933</v>
      </c>
      <c r="AG75" s="323"/>
      <c r="AH75" s="323"/>
      <c r="AI75" s="323" t="str">
        <f>'LCA data'!$B$52</f>
        <v>Indvendig konstruktion</v>
      </c>
      <c r="AJ75" s="323">
        <f>VLOOKUP(E78,Pris.indvendig.konstruktion[],2,0)*F78*C78</f>
        <v>362575.9800000001</v>
      </c>
      <c r="AK75" s="323">
        <f>VLOOKUP(J78,Pris.indvendig.konstruktion[],2,0)*K78*C78</f>
        <v>758833.91999999981</v>
      </c>
      <c r="AL75" s="323"/>
      <c r="AM75" s="323"/>
      <c r="AN75" s="323">
        <f>IF(E75="Angiv ikke",0,((1+H75)*VLOOKUP(B75&amp;"_"&amp;E75,'LCA data'!$B$7:$X$360,20,FALSE)*(F75*10^3)*C75))</f>
        <v>-179.80797846828168</v>
      </c>
      <c r="AO75" s="323">
        <f>IF(J75="Angiv ikke",0,((1+M75)*VLOOKUP(B75&amp;"_"&amp;J75,'LCA data'!$B$7:$X$360,20,FALSE)*(K75*10^3)*C75))</f>
        <v>-1939.016641536</v>
      </c>
      <c r="AP75" s="323"/>
      <c r="AQ75" s="323"/>
      <c r="AR75" s="323">
        <f>IF(E75="Angiv ikke",0,((1+H75)*VLOOKUP(B75&amp;"_"&amp;E75,'LCA data'!$B$7:$AA$360,26,FALSE)*(F75*10^3)*C75))</f>
        <v>0</v>
      </c>
      <c r="AS75" s="323">
        <f>IF(J75="Angiv ikke",0,((1+M75)*VLOOKUP(B75&amp;"_"&amp;J75,'LCA data'!$B$7:$AA$360,26,FALSE)*(K75*10^3)*C75))</f>
        <v>3852.5760000000009</v>
      </c>
      <c r="AT75" s="323"/>
      <c r="AU75" s="323"/>
      <c r="AV75" s="323"/>
      <c r="AW75" s="323"/>
      <c r="AX75" s="323"/>
      <c r="AY75" s="323"/>
      <c r="AZ75" s="323"/>
      <c r="BA75" s="323"/>
      <c r="BB75" s="323"/>
      <c r="BC75" s="323"/>
      <c r="BD75" s="323"/>
      <c r="BE75" s="323"/>
      <c r="BF75" s="323"/>
      <c r="BG75" s="323"/>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c r="CL75" s="323"/>
      <c r="CM75" s="323"/>
      <c r="CN75" s="323"/>
      <c r="CO75" s="323"/>
      <c r="CP75" s="428"/>
      <c r="CQ75" s="428"/>
      <c r="CR75" s="323"/>
      <c r="CS75" s="323"/>
      <c r="CT75" s="323"/>
      <c r="CU75" s="323"/>
      <c r="CV75" s="323"/>
      <c r="CW75" s="323"/>
      <c r="CX75" s="323"/>
      <c r="CY75" s="323"/>
      <c r="CZ75" s="323"/>
      <c r="EK75" s="1070"/>
      <c r="EL75" s="1070"/>
      <c r="EM75" s="1070"/>
      <c r="EN75" s="1070"/>
      <c r="EO75" s="1070"/>
      <c r="EP75" s="1070"/>
      <c r="EQ75" s="1070"/>
    </row>
    <row r="76" spans="2:222" ht="40.4" customHeight="1" x14ac:dyDescent="0.35">
      <c r="B76" s="205" t="str">
        <f>'LCA data'!$B$25</f>
        <v>Udvendig konstruktion</v>
      </c>
      <c r="C76" s="463">
        <f>IF($C$42-C87-C98-C109-C120&lt;0,0,$C$42-C87-C98-C109-C120)</f>
        <v>280.8</v>
      </c>
      <c r="D76" s="168" t="s">
        <v>103</v>
      </c>
      <c r="E76" s="343" t="str">
        <f>IF($E$74=$C$72,D76,VLOOKUP(B76,Auto_Ydervæg[],VLOOKUP($X$27,Type_Tung_Middel_Let[],2,0),0))</f>
        <v>Angiv ikke</v>
      </c>
      <c r="F76" s="352"/>
      <c r="G76" s="353"/>
      <c r="H76" s="351" t="str">
        <f>IFERROR(IF(VLOOKUP(B76&amp;"_"&amp;E76,'LCA data'!$B$7:$X$200,2,FALSE)&lt;$Y$24,1,0)+IF(VLOOKUP(B76&amp;"_"&amp;E76,'LCA data'!$B$7:$X$200,2,FALSE)*2&lt;$Y$24,1,0),"")</f>
        <v/>
      </c>
      <c r="I76" s="168" t="s">
        <v>103</v>
      </c>
      <c r="J76" s="343" t="str">
        <f>IF($J$74=$C$72,I76,VLOOKUP(B76,Auto_Ydervæg[],VLOOKUP($Y$27,Type_Tung_Middel_Let[],2,0),0))</f>
        <v>Afstandslister i træ</v>
      </c>
      <c r="K76" s="514"/>
      <c r="L76" s="514"/>
      <c r="M76" s="515">
        <f>IFERROR(IF(VLOOKUP(B76&amp;"_"&amp;J76,'LCA data'!$B$7:$X$200,2,FALSE)&lt;$Y$24,1,0)+IF(VLOOKUP(B76&amp;"_"&amp;J76,'LCA data'!$B$7:$X$200,2,FALSE)*2&lt;$Y$24,1,0),"")</f>
        <v>0</v>
      </c>
      <c r="N76" s="206">
        <f>W76/1000</f>
        <v>0</v>
      </c>
      <c r="O76" s="878"/>
      <c r="P76" s="207">
        <f>X76/1000</f>
        <v>0.37157552171999991</v>
      </c>
      <c r="Q76" s="878"/>
      <c r="R76" s="192"/>
      <c r="S76" s="196"/>
      <c r="V76" s="251"/>
      <c r="W76" s="323">
        <f>IF(E76="Angiv ikke",0,((1+H76)*VLOOKUP(B76&amp;"_"&amp;E76,'LCA data'!$B$7:$X$360,19,FALSE)*C76))</f>
        <v>0</v>
      </c>
      <c r="X76" s="323">
        <f>IF(J76="Angiv ikke",0,((1+M76)*VLOOKUP(B76&amp;"_"&amp;J76,'LCA data'!$B$7:$X$360,19,FALSE)*C76))</f>
        <v>371.57552171999993</v>
      </c>
      <c r="Y76" s="323"/>
      <c r="Z76" s="323"/>
      <c r="AA76" s="323" t="s">
        <v>5</v>
      </c>
      <c r="AB76" s="323">
        <f>AG76/$J$21/$Y$24*1000</f>
        <v>0.26577153559155786</v>
      </c>
      <c r="AC76" s="323">
        <f>Varmetab!I67</f>
        <v>0.55416081355932212</v>
      </c>
      <c r="AD76" s="323">
        <f>AB76+AC76</f>
        <v>0.81993234915087998</v>
      </c>
      <c r="AE76" s="323" t="s">
        <v>5</v>
      </c>
      <c r="AF76" s="323"/>
      <c r="AG76" s="323">
        <f>X74/1000</f>
        <v>5.3154307118311577</v>
      </c>
      <c r="AH76" s="323"/>
      <c r="AI76" s="323" t="str">
        <f>'LCA data'!$B$65</f>
        <v>Indvendig beklædning</v>
      </c>
      <c r="AJ76" s="323">
        <f>VLOOKUP(E79,Pris.indvendig.beklædning[],2,0)*C79</f>
        <v>0</v>
      </c>
      <c r="AK76" s="323">
        <f>VLOOKUP(J79,Pris.indvendig.beklædning[],2,0)*C79</f>
        <v>119907.216</v>
      </c>
      <c r="AL76" s="323"/>
      <c r="AM76" s="323"/>
      <c r="AN76" s="323">
        <f>IF(E76="Angiv ikke",0,((1+H76)*VLOOKUP(B76&amp;"_"&amp;E76,'LCA data'!$B$7:$X$360,20,FALSE)*(F76*10^3)*C76))</f>
        <v>0</v>
      </c>
      <c r="AO76" s="323">
        <f>IF(J76="Angiv ikke",0,((1+M76)*VLOOKUP(B76&amp;"_"&amp;J76,'LCA data'!$B$7:$X$360,20,FALSE)*(K76*10^3)*C76))</f>
        <v>0</v>
      </c>
      <c r="AP76" s="323"/>
      <c r="AQ76" s="323"/>
      <c r="AR76" s="323">
        <f>IF(E76="Angiv ikke",0,((1+H76)*VLOOKUP(B76&amp;"_"&amp;E76,'LCA data'!$B$7:$AA$360,26,FALSE)*(F76*10^3)*C76))</f>
        <v>0</v>
      </c>
      <c r="AS76" s="323">
        <f>IF(J76="Angiv ikke",0,((1+M76)*VLOOKUP(B76&amp;"_"&amp;J76,'LCA data'!$B$7:$AA$360,26,FALSE)*(K76*10^3)*C76))</f>
        <v>0</v>
      </c>
      <c r="AT76" s="323"/>
      <c r="AU76" s="323"/>
      <c r="AV76" s="323"/>
      <c r="AW76" s="323"/>
      <c r="AX76" s="323"/>
      <c r="AY76" s="323"/>
      <c r="AZ76" s="323"/>
      <c r="BA76" s="323"/>
      <c r="BB76" s="323"/>
      <c r="BC76" s="323"/>
      <c r="BD76" s="323"/>
      <c r="BE76" s="323"/>
      <c r="BF76" s="323"/>
      <c r="BG76" s="323"/>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c r="CL76" s="323"/>
      <c r="CM76" s="323"/>
      <c r="CN76" s="323"/>
      <c r="CO76" s="323"/>
      <c r="CP76" s="428"/>
      <c r="CQ76" s="428"/>
      <c r="CR76" s="323"/>
      <c r="CS76" s="323"/>
      <c r="CT76" s="323"/>
      <c r="CU76" s="323"/>
      <c r="CV76" s="323"/>
      <c r="CW76" s="323"/>
      <c r="CX76" s="323"/>
      <c r="CY76" s="323"/>
      <c r="CZ76" s="323"/>
      <c r="EK76" s="1070"/>
      <c r="EL76" s="1070"/>
      <c r="EM76" s="1070"/>
      <c r="EN76" s="1070"/>
      <c r="EO76" s="1070"/>
      <c r="EP76" s="1070"/>
      <c r="EQ76" s="1070"/>
    </row>
    <row r="77" spans="2:222" ht="40.4" customHeight="1" thickBot="1" x14ac:dyDescent="0.4">
      <c r="B77" s="208" t="str">
        <f>'LCA data'!$B$32</f>
        <v>Isolering</v>
      </c>
      <c r="C77" s="463">
        <f>IF($C$42-C88-C99-C110-C121&lt;0,0,$C$42-C88-C99-C110-C121)</f>
        <v>280.8</v>
      </c>
      <c r="D77" s="169" t="s">
        <v>103</v>
      </c>
      <c r="E77" s="343" t="str">
        <f>IF($E$74=$C$72,D77,VLOOKUP(B77,Auto_Ydervæg[],VLOOKUP($X$27,Type_Tung_Middel_Let[],2,0),0))</f>
        <v>Mineraluld</v>
      </c>
      <c r="F77" s="172">
        <v>0.3</v>
      </c>
      <c r="G77" s="462">
        <f>VLOOKUP(E77,Isoleringsmateriale[],2,0)</f>
        <v>3.6999999999999998E-2</v>
      </c>
      <c r="H77" s="351">
        <f>IFERROR(IF(VLOOKUP(B77&amp;"_"&amp;E77,'LCA data'!$B$7:$X$200,2,FALSE)&lt;$Y$24,1,0)+IF(VLOOKUP(B77&amp;"_"&amp;E77,'LCA data'!$B$7:$X$200,2,FALSE)*2&lt;$Y$24,1,0),"")</f>
        <v>0</v>
      </c>
      <c r="I77" s="169" t="s">
        <v>103</v>
      </c>
      <c r="J77" s="343" t="str">
        <f>IF($J$74=$C$72,I77,VLOOKUP(B77,Auto_Ydervæg[],VLOOKUP($Y$27,Type_Tung_Middel_Let[],2,0),0))</f>
        <v>Papiruld</v>
      </c>
      <c r="K77" s="172">
        <v>0.3</v>
      </c>
      <c r="L77" s="516">
        <f>VLOOKUP(J77,Isoleringsmateriale[],2,0)</f>
        <v>0.04</v>
      </c>
      <c r="M77" s="515">
        <f>IFERROR(IF(VLOOKUP(B77&amp;"_"&amp;J77,'LCA data'!$B$7:$X$200,2,FALSE)&lt;$Y$24,1,0)+IF(VLOOKUP(B77&amp;"_"&amp;J77,'LCA data'!$B$7:$X$200,2,FALSE)*2&lt;$Y$24,1,0),"")</f>
        <v>0</v>
      </c>
      <c r="N77" s="206">
        <f>IFERROR(W77/1000,0)</f>
        <v>3.4893050400000001</v>
      </c>
      <c r="O77" s="878"/>
      <c r="P77" s="207">
        <f>IFERROR(X77/1000,0)</f>
        <v>2.1657514320000004</v>
      </c>
      <c r="Q77" s="878"/>
      <c r="R77" s="192"/>
      <c r="S77" s="196"/>
      <c r="V77" s="251"/>
      <c r="W77" s="323">
        <f>IFERROR(IF(E77="Angiv ikke",0,((1+H77)*VLOOKUP(B77&amp;"_"&amp;E77,'LCA data'!$B$7:$X$360,19,FALSE)*(F77*10^3)*C77)),"0")</f>
        <v>3489.3050400000002</v>
      </c>
      <c r="X77" s="323">
        <f>IFERROR(IF(J77="Angiv ikke",0,((1+M77)*VLOOKUP(B77&amp;"_"&amp;J77,'LCA data'!$B$7:$X$360,19,FALSE)*(K77*10^3)*C77)),"0")</f>
        <v>2165.7514320000005</v>
      </c>
      <c r="Y77" s="323">
        <f>IF(G77="_",0,Varmetab!H67*$J$21*$Y$24)</f>
        <v>10269.045498057396</v>
      </c>
      <c r="Z77" s="323">
        <f>IF(L77="_",0,Varmetab!I67*$J$21*$Y$24)</f>
        <v>11083.216271186442</v>
      </c>
      <c r="AA77" s="323"/>
      <c r="AB77" s="323"/>
      <c r="AC77" s="323"/>
      <c r="AD77" s="323"/>
      <c r="AE77" s="323"/>
      <c r="AF77" s="323"/>
      <c r="AG77" s="323"/>
      <c r="AH77" s="323"/>
      <c r="AI77" s="323" t="s">
        <v>743</v>
      </c>
      <c r="AJ77" s="323">
        <f>SUM(AJ72:AJ76)</f>
        <v>879257.80800000019</v>
      </c>
      <c r="AK77" s="323">
        <f>SUM(AK72:AK76)</f>
        <v>1322613.3291428571</v>
      </c>
      <c r="AL77" s="323"/>
      <c r="AM77" s="323"/>
      <c r="AN77" s="323">
        <f>IF(E77="Angiv ikke",0,((1+H77)*VLOOKUP(B77&amp;"_"&amp;E77,'LCA data'!$B$7:$X$360,20,FALSE)*(F77*10^3)*C77))</f>
        <v>0</v>
      </c>
      <c r="AO77" s="323">
        <f>IF(J77="Angiv ikke",0,((1+M77)*VLOOKUP(B77&amp;"_"&amp;J77,'LCA data'!$B$7:$X$360,20,FALSE)*(K77*10^3)*C77))</f>
        <v>-2569.8815999999997</v>
      </c>
      <c r="AP77" s="323"/>
      <c r="AQ77" s="323"/>
      <c r="AR77" s="323">
        <f>IF(E77="Angiv ikke",0,((1+H77)*VLOOKUP(B77&amp;"_"&amp;E77,'LCA data'!$B$7:$AA$360,26,FALSE)*(F77*10^3)*C77))</f>
        <v>0</v>
      </c>
      <c r="AS77" s="323">
        <f>IF(J77="Angiv ikke",0,((1+M77)*VLOOKUP(B77&amp;"_"&amp;J77,'LCA data'!$B$7:$AA$360,26,FALSE)*(K77*10^3)*C77))</f>
        <v>3790.8</v>
      </c>
      <c r="AT77" s="323"/>
      <c r="AU77" s="323"/>
      <c r="AV77" s="323"/>
      <c r="AW77" s="323"/>
      <c r="AX77" s="323"/>
      <c r="AY77" s="323"/>
      <c r="AZ77" s="323"/>
      <c r="BA77" s="323"/>
      <c r="BB77" s="323"/>
      <c r="BC77" s="323"/>
      <c r="BD77" s="323"/>
      <c r="BE77" s="323"/>
      <c r="BF77" s="323"/>
      <c r="BG77" s="323"/>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c r="CL77" s="323"/>
      <c r="CM77" s="323"/>
      <c r="CN77" s="323"/>
      <c r="CO77" s="323"/>
      <c r="CP77" s="428"/>
      <c r="CQ77" s="428"/>
      <c r="CR77" s="323"/>
      <c r="CS77" s="323"/>
      <c r="CT77" s="323"/>
      <c r="CU77" s="323"/>
      <c r="CV77" s="323"/>
      <c r="CW77" s="323"/>
      <c r="CX77" s="323"/>
      <c r="CY77" s="323"/>
      <c r="CZ77" s="323"/>
      <c r="EK77" s="1070"/>
      <c r="EL77" s="1070"/>
      <c r="EM77" s="1070"/>
      <c r="EN77" s="1070"/>
      <c r="EO77" s="1070"/>
      <c r="EP77" s="1070"/>
      <c r="EQ77" s="1070"/>
    </row>
    <row r="78" spans="2:222" ht="40.4" customHeight="1" x14ac:dyDescent="0.35">
      <c r="B78" s="205" t="str">
        <f>'LCA data'!$B$52</f>
        <v>Indvendig konstruktion</v>
      </c>
      <c r="C78" s="463">
        <f>IF($C$42-C89-C100-C111-C122&lt;0,0,$C$42-C89-C100-C111-C122)</f>
        <v>280.8</v>
      </c>
      <c r="D78" s="16" t="s">
        <v>103</v>
      </c>
      <c r="E78" s="343" t="str">
        <f>IF($E$74=$C$72,D78,VLOOKUP(B78,Auto_Ydervæg[],VLOOKUP($X$27,Type_Tung_Middel_Let[],2,0),0))</f>
        <v>Betonelement C30/37</v>
      </c>
      <c r="F78" s="352">
        <f>IF(OR(E78="Stålskelet",E78="Træskelet"),F77,(VLOOKUP(E78,Pris.indvendig.konstruktion[],4,0)/1000))</f>
        <v>0.1</v>
      </c>
      <c r="G78" s="350"/>
      <c r="H78" s="351">
        <f>IFERROR(IF(VLOOKUP(B78&amp;"_"&amp;E78,'LCA data'!$B$7:$X$200,2,FALSE)&lt;$Y$24,1,0)+IF(VLOOKUP(B78&amp;"_"&amp;E78,'LCA data'!$B$7:$X$200,2,FALSE)*2&lt;$Y$24,1,0),"")</f>
        <v>0</v>
      </c>
      <c r="I78" s="16" t="s">
        <v>103</v>
      </c>
      <c r="J78" s="343" t="str">
        <f>IF($J$74=$C$72,I78,VLOOKUP(B78,Auto_Ydervæg[],VLOOKUP($Y$27,Type_Tung_Middel_Let[],2,0),0))</f>
        <v>Træskelet</v>
      </c>
      <c r="K78" s="517">
        <f>IF(OR(J78="Stålskelet",J78="Træskelet"),K77,(VLOOKUP(J78,Pris.indvendig.konstruktion[],4,0)/1000))</f>
        <v>0.3</v>
      </c>
      <c r="L78" s="514"/>
      <c r="M78" s="515">
        <f>IFERROR(IF(VLOOKUP(B78&amp;"_"&amp;J78,'LCA data'!$B$7:$X$200,2,FALSE)&lt;$Y$24,1,0)+IF(VLOOKUP(B78&amp;"_"&amp;J78,'LCA data'!$B$7:$X$200,2,FALSE)*2&lt;$Y$24,1,0),"")</f>
        <v>0</v>
      </c>
      <c r="N78" s="206">
        <f>W78/1000</f>
        <v>9.3992808555360021</v>
      </c>
      <c r="O78" s="878"/>
      <c r="P78" s="207">
        <f>X78/1000</f>
        <v>0.85981028293515771</v>
      </c>
      <c r="Q78" s="878"/>
      <c r="R78" s="194"/>
      <c r="S78" s="196"/>
      <c r="V78" s="251"/>
      <c r="W78" s="323">
        <f>IF(E78="Angiv ikke",0,((1+H78)*VLOOKUP(B78&amp;"_"&amp;E78,'LCA data'!$B$7:$X$360,19,FALSE)*(F78*10^3)*C78))</f>
        <v>9399.2808555360025</v>
      </c>
      <c r="X78" s="323">
        <f>IF(J78="Angiv ikke",0,((1+M78)*VLOOKUP(B78&amp;"_"&amp;J78,'LCA data'!$B$7:$X$360,19,FALSE)*(K78*10^3)*C78))</f>
        <v>859.81028293515772</v>
      </c>
      <c r="Y78" s="323"/>
      <c r="Z78" s="323"/>
      <c r="AA78" s="323"/>
      <c r="AB78" s="323"/>
      <c r="AC78" s="323"/>
      <c r="AD78" s="323"/>
      <c r="AE78" s="323"/>
      <c r="AF78" s="323"/>
      <c r="AG78" s="323"/>
      <c r="AH78" s="323"/>
      <c r="AI78" s="323"/>
      <c r="AJ78" s="323"/>
      <c r="AK78" s="323"/>
      <c r="AL78" s="323"/>
      <c r="AM78" s="323"/>
      <c r="AN78" s="323">
        <f>IF(E78="Angiv ikke",0,((1+H78)*VLOOKUP(B78&amp;"_"&amp;E78,'LCA data'!$B$7:$X$360,20,FALSE)*(F78*10^3)*C78))</f>
        <v>-791.2944</v>
      </c>
      <c r="AO78" s="323">
        <f>IF(J78="Angiv ikke",0,((1+M78)*VLOOKUP(B78&amp;"_"&amp;J78,'LCA data'!$B$7:$X$360,20,FALSE)*(K78*10^3)*C78))</f>
        <v>-6645.3832421052639</v>
      </c>
      <c r="AP78" s="323"/>
      <c r="AQ78" s="323"/>
      <c r="AR78" s="323">
        <f>IF(E78="Angiv ikke",0,((1+H78)*VLOOKUP(B78&amp;"_"&amp;E78,'LCA data'!$B$7:$AA$360,26,FALSE)*(F78*10^3)*C78))</f>
        <v>0</v>
      </c>
      <c r="AS78" s="323">
        <f>IF(J78="Angiv ikke",0,((1+M78)*VLOOKUP(B78&amp;"_"&amp;J78,'LCA data'!$B$7:$AA$360,26,FALSE)*(K78*10^3)*C78))</f>
        <v>8167.9104000000007</v>
      </c>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c r="CL78" s="323"/>
      <c r="CM78" s="323"/>
      <c r="CN78" s="323"/>
      <c r="CO78" s="323"/>
      <c r="CP78" s="1144" t="s">
        <v>77</v>
      </c>
      <c r="CQ78" s="1145"/>
      <c r="CR78" s="323"/>
      <c r="CS78" s="323"/>
      <c r="CT78" s="323"/>
      <c r="CU78" s="323"/>
      <c r="CV78" s="323"/>
      <c r="CW78" s="323"/>
      <c r="CX78" s="323"/>
      <c r="CY78" s="323"/>
      <c r="CZ78" s="323"/>
      <c r="EK78" s="1070"/>
      <c r="EL78" s="1070"/>
      <c r="EM78" s="1070"/>
      <c r="EN78" s="1070"/>
      <c r="EO78" s="1070"/>
      <c r="EP78" s="1070"/>
      <c r="EQ78" s="1070"/>
    </row>
    <row r="79" spans="2:222" ht="40.4" customHeight="1" thickBot="1" x14ac:dyDescent="0.4">
      <c r="B79" s="209" t="str">
        <f>'LCA data'!$B$65</f>
        <v>Indvendig beklædning</v>
      </c>
      <c r="C79" s="464">
        <f>IF($C$42-C90-C101-C112-C123&lt;0,0,$C$42-C90-C101-C112-C123)</f>
        <v>280.8</v>
      </c>
      <c r="D79" s="171" t="s">
        <v>103</v>
      </c>
      <c r="E79" s="344" t="str">
        <f>IF($E$74=$C$72,D79,VLOOKUP(B79,Auto_Ydervæg[],VLOOKUP($X$27,Type_Tung_Middel_Let[],2,0),0))</f>
        <v>Angiv ikke</v>
      </c>
      <c r="F79" s="354">
        <f>(VLOOKUP(E79,Pris.indvendig.beklædning[],4,0))/1000</f>
        <v>0</v>
      </c>
      <c r="G79" s="354"/>
      <c r="H79" s="355" t="str">
        <f>IFERROR(IF(VLOOKUP(B79&amp;"_"&amp;E79,'LCA data'!$B$7:$X$200,2,FALSE)&lt;$Y$24,1,0)+IF(VLOOKUP(B79&amp;"_"&amp;E79,'LCA data'!$B$7:$X$200,2,FALSE)*2&lt;$Y$24,1,0),"")</f>
        <v/>
      </c>
      <c r="I79" s="171" t="s">
        <v>103</v>
      </c>
      <c r="J79" s="344" t="str">
        <f>IF($J$74=$C$72,I79,VLOOKUP(B79,Auto_Ydervæg[],VLOOKUP($Y$27,Type_Tung_Middel_Let[],2,0),0))</f>
        <v>ler-/hampplade</v>
      </c>
      <c r="K79" s="518">
        <f>(VLOOKUP(J79,Pris.indvendig.beklædning[],4,0))/1000</f>
        <v>0.02</v>
      </c>
      <c r="L79" s="519"/>
      <c r="M79" s="520">
        <f>IFERROR(IF(VLOOKUP(B79&amp;"_"&amp;J79,'LCA data'!$B$7:$X$200,2,FALSE)&lt;$Y$24,1,0)+IF(VLOOKUP(B79&amp;"_"&amp;J79,'LCA data'!$B$7:$X$200,2,FALSE)*2&lt;$Y$24,1,0),"")</f>
        <v>0</v>
      </c>
      <c r="N79" s="210">
        <f>W79/1000</f>
        <v>0</v>
      </c>
      <c r="O79" s="879"/>
      <c r="P79" s="211">
        <f>X79/1000</f>
        <v>9.0448319520000001E-2</v>
      </c>
      <c r="Q79" s="879"/>
      <c r="R79" s="212"/>
      <c r="S79" s="213"/>
      <c r="V79" s="251"/>
      <c r="W79" s="323">
        <f>IF(E79="Angiv ikke",0,((1+H79)*VLOOKUP(B79&amp;"_"&amp;E79,'LCA data'!$B$7:$X$360,19,FALSE)*(F79*10^3)*C79))</f>
        <v>0</v>
      </c>
      <c r="X79" s="323">
        <f>IF(J79="Angiv ikke",0,((1+M79)*VLOOKUP(B79&amp;"_"&amp;J79,'LCA data'!$B$7:$X$360,19,FALSE)*(K79*10^3)*C79))</f>
        <v>90.448319519999998</v>
      </c>
      <c r="Y79" s="323"/>
      <c r="Z79" s="323"/>
      <c r="AA79" s="323"/>
      <c r="AB79" s="323"/>
      <c r="AC79" s="323"/>
      <c r="AD79" s="323"/>
      <c r="AE79" s="323"/>
      <c r="AF79" s="323"/>
      <c r="AG79" s="323"/>
      <c r="AH79" s="323"/>
      <c r="AI79" s="323"/>
      <c r="AJ79" s="323"/>
      <c r="AK79" s="323"/>
      <c r="AL79" s="323"/>
      <c r="AM79" s="323"/>
      <c r="AN79" s="323">
        <f>IF(E79="Angiv ikke",0,((1+H79)*VLOOKUP(B79&amp;"_"&amp;E79,'LCA data'!$B$7:$X$360,20,FALSE)*(F79*10^3)*C79))</f>
        <v>0</v>
      </c>
      <c r="AO79" s="323">
        <f>IF(J79="Angiv ikke",0,((1+M79)*VLOOKUP(B79&amp;"_"&amp;J79,'LCA data'!$B$7:$X$360,20,FALSE)*(K79*10^3)*C79))</f>
        <v>-16.497617760000001</v>
      </c>
      <c r="AP79" s="323"/>
      <c r="AQ79" s="323"/>
      <c r="AR79" s="323">
        <f>IF(E79="Angiv ikke",0,((1+H79)*VLOOKUP(B79&amp;"_"&amp;E79,'LCA data'!$B$7:$AA$360,26,FALSE)*(F79*10^3)*C79))</f>
        <v>0</v>
      </c>
      <c r="AS79" s="323">
        <f>IF(J79="Angiv ikke",0,((1+M79)*VLOOKUP(B79&amp;"_"&amp;J79,'LCA data'!$B$7:$AA$360,26,FALSE)*(K79*10^3)*C79))</f>
        <v>0</v>
      </c>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c r="CL79" s="323"/>
      <c r="CM79" s="323"/>
      <c r="CN79" s="323"/>
      <c r="CO79" s="323"/>
      <c r="CP79" s="431"/>
      <c r="CQ79" s="432"/>
      <c r="CR79" s="323"/>
      <c r="CS79" s="323"/>
      <c r="CT79" s="323"/>
      <c r="CU79" s="323"/>
      <c r="CV79" s="323"/>
      <c r="CW79" s="323"/>
      <c r="CX79" s="323"/>
      <c r="CY79" s="323"/>
      <c r="CZ79" s="323"/>
      <c r="EK79" s="1070"/>
      <c r="EL79" s="1070"/>
      <c r="EM79" s="1070"/>
      <c r="EN79" s="1070"/>
      <c r="EO79" s="1070"/>
      <c r="EP79" s="1070"/>
      <c r="EQ79" s="1070"/>
    </row>
    <row r="80" spans="2:222" ht="13.5" customHeight="1" x14ac:dyDescent="0.35">
      <c r="B80" s="173" t="s">
        <v>110</v>
      </c>
      <c r="N80" s="215"/>
      <c r="P80" s="216"/>
      <c r="Q80" s="174"/>
      <c r="R80" s="217"/>
      <c r="V80" s="251"/>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c r="CL80" s="323"/>
      <c r="CM80" s="323"/>
      <c r="CN80" s="323"/>
      <c r="CO80" s="323"/>
      <c r="CP80" s="431"/>
      <c r="CQ80" s="433"/>
      <c r="CR80" s="323"/>
      <c r="CS80" s="323"/>
      <c r="CT80" s="323"/>
      <c r="CU80" s="323"/>
      <c r="CV80" s="323"/>
      <c r="CW80" s="323"/>
      <c r="CX80" s="323"/>
      <c r="CY80" s="323"/>
      <c r="CZ80" s="323"/>
      <c r="EK80" s="1070"/>
      <c r="EL80" s="1070"/>
      <c r="EM80" s="1070"/>
      <c r="EN80" s="1070"/>
      <c r="EO80" s="1070"/>
      <c r="EP80" s="1070"/>
      <c r="EQ80" s="1070"/>
    </row>
    <row r="81" spans="2:222" ht="13.5" customHeight="1" thickBot="1" x14ac:dyDescent="0.4">
      <c r="B81" s="542"/>
      <c r="C81" s="542"/>
      <c r="D81" s="542"/>
      <c r="E81" s="542"/>
      <c r="F81" s="542"/>
      <c r="G81" s="542"/>
      <c r="H81" s="542"/>
      <c r="I81" s="542"/>
      <c r="J81" s="542"/>
      <c r="K81" s="542"/>
      <c r="L81" s="542"/>
      <c r="M81" s="542"/>
      <c r="N81" s="543"/>
      <c r="O81" s="542"/>
      <c r="P81" s="544"/>
      <c r="Q81" s="542"/>
      <c r="R81" s="217"/>
      <c r="V81" s="251"/>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c r="CL81" s="323"/>
      <c r="CM81" s="323"/>
      <c r="CN81" s="323"/>
      <c r="CO81" s="323"/>
      <c r="CP81" s="431"/>
      <c r="CQ81" s="434"/>
      <c r="CR81" s="323"/>
      <c r="CS81" s="323"/>
      <c r="CT81" s="323"/>
      <c r="CU81" s="323"/>
      <c r="CV81" s="323"/>
      <c r="CW81" s="323"/>
      <c r="CX81" s="323"/>
      <c r="CY81" s="323"/>
      <c r="CZ81" s="323"/>
      <c r="EK81" s="1070"/>
      <c r="EL81" s="1070"/>
      <c r="EM81" s="1070"/>
      <c r="EN81" s="1070"/>
      <c r="EO81" s="1070"/>
      <c r="EP81" s="1070"/>
      <c r="EQ81" s="1070"/>
    </row>
    <row r="82" spans="2:222" ht="31.5" customHeight="1" outlineLevel="1" x14ac:dyDescent="0.35">
      <c r="B82" s="492" t="s">
        <v>112</v>
      </c>
      <c r="C82" s="499"/>
      <c r="D82" s="506" t="s">
        <v>811</v>
      </c>
      <c r="E82" s="499"/>
      <c r="F82" s="499"/>
      <c r="G82" s="499"/>
      <c r="H82" s="499"/>
      <c r="I82" s="500" t="str">
        <f>"Ydervæg"&amp;" "&amp;2</f>
        <v>Ydervæg 2</v>
      </c>
      <c r="J82" s="500"/>
      <c r="K82" s="499"/>
      <c r="L82" s="499"/>
      <c r="M82" s="499"/>
      <c r="N82" s="499"/>
      <c r="O82" s="499"/>
      <c r="P82" s="499"/>
      <c r="Q82" s="501"/>
      <c r="R82" s="190"/>
      <c r="S82" s="191"/>
      <c r="V82" s="251"/>
      <c r="W82" s="323">
        <f>IF(D85=$D$82,1,0)</f>
        <v>1</v>
      </c>
      <c r="X82" s="323">
        <f>IF(I85=$D$82,1,0)</f>
        <v>1</v>
      </c>
      <c r="Y82" s="323"/>
      <c r="Z82" s="323"/>
      <c r="AA82" s="323"/>
      <c r="AB82" s="323"/>
      <c r="AC82" s="323"/>
      <c r="AD82" s="323"/>
      <c r="AE82" s="323"/>
      <c r="AF82" s="323"/>
      <c r="AG82" s="323"/>
      <c r="AH82" s="323"/>
      <c r="AI82" s="323"/>
      <c r="AJ82" s="323" t="s">
        <v>746</v>
      </c>
      <c r="AK82" s="323" t="s">
        <v>747</v>
      </c>
      <c r="AL82" s="323"/>
      <c r="AM82" s="323"/>
      <c r="AN82" s="323" t="s">
        <v>846</v>
      </c>
      <c r="AO82" s="323"/>
      <c r="AP82" s="323"/>
      <c r="AQ82" s="323"/>
      <c r="AR82" s="323" t="s">
        <v>851</v>
      </c>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c r="CL82" s="323"/>
      <c r="CM82" s="323"/>
      <c r="CN82" s="323"/>
      <c r="CO82" s="323"/>
      <c r="CP82" s="431"/>
      <c r="CQ82" s="433"/>
      <c r="CR82" s="323"/>
      <c r="CS82" s="323"/>
      <c r="CT82" s="323"/>
      <c r="CU82" s="323"/>
      <c r="CV82" s="323"/>
      <c r="CW82" s="323"/>
      <c r="CX82" s="323"/>
      <c r="CY82" s="323"/>
      <c r="CZ82" s="323"/>
      <c r="EK82" s="1070"/>
      <c r="EL82" s="1070"/>
      <c r="EM82" s="1070"/>
      <c r="EN82" s="1070"/>
      <c r="EO82" s="1070"/>
      <c r="EP82" s="1070"/>
      <c r="EQ82" s="1070"/>
    </row>
    <row r="83" spans="2:222" ht="40.4" customHeight="1" outlineLevel="1" x14ac:dyDescent="0.35">
      <c r="B83" s="359" t="s">
        <v>78</v>
      </c>
      <c r="C83" s="195" t="s">
        <v>80</v>
      </c>
      <c r="D83" s="910" t="s">
        <v>4</v>
      </c>
      <c r="E83" s="911"/>
      <c r="F83" s="911"/>
      <c r="G83" s="911"/>
      <c r="H83" s="912"/>
      <c r="I83" s="885" t="s">
        <v>5</v>
      </c>
      <c r="J83" s="886"/>
      <c r="K83" s="886"/>
      <c r="L83" s="886"/>
      <c r="M83" s="887"/>
      <c r="N83" s="877" t="s">
        <v>79</v>
      </c>
      <c r="O83" s="877"/>
      <c r="P83" s="877"/>
      <c r="Q83" s="881"/>
      <c r="R83" s="192"/>
      <c r="S83" s="193"/>
      <c r="T83" s="175"/>
      <c r="V83" s="251"/>
      <c r="W83" s="323"/>
      <c r="X83" s="323"/>
      <c r="Y83" s="323"/>
      <c r="Z83" s="323"/>
      <c r="AA83" s="323"/>
      <c r="AB83" s="323"/>
      <c r="AC83" s="323"/>
      <c r="AD83" s="323"/>
      <c r="AE83" s="323"/>
      <c r="AF83" s="323"/>
      <c r="AG83" s="323"/>
      <c r="AH83" s="323"/>
      <c r="AI83" s="323" t="str">
        <f>'LCA data'!$B$8</f>
        <v>Udvendig beklædning</v>
      </c>
      <c r="AJ83" s="323">
        <f>VLOOKUP(E86,Pris.udvendig.beklædning[],2,0)*C86</f>
        <v>0</v>
      </c>
      <c r="AK83" s="323">
        <f>VLOOKUP(J86,Pris.udvendig.beklædning[],2,0)*C86</f>
        <v>0</v>
      </c>
      <c r="AL83" s="323" t="str">
        <f>IFERROR(AJ83+VLOOKUP(B83&amp;"_"&amp;I83,'LCA data'!$B$7:$X$238,2,FALSE),"")</f>
        <v/>
      </c>
      <c r="AM83" s="323" t="str">
        <f>IFERROR(IF(M83-1&gt;0,VLOOKUP(B83&amp;"_"&amp;I83,'LCA data'!$B$7:$X$200,19,FALSE)*(K83*10^3)*C83,""),"")</f>
        <v/>
      </c>
      <c r="AN83" s="323" t="s">
        <v>4</v>
      </c>
      <c r="AO83" s="323" t="s">
        <v>5</v>
      </c>
      <c r="AP83" s="323"/>
      <c r="AQ83" s="323"/>
      <c r="AR83" s="323" t="s">
        <v>4</v>
      </c>
      <c r="AS83" s="323" t="s">
        <v>5</v>
      </c>
      <c r="AT83" s="323"/>
      <c r="AU83" s="323"/>
      <c r="AV83" s="323"/>
      <c r="AW83" s="323"/>
      <c r="AX83" s="323"/>
      <c r="AY83" s="323"/>
      <c r="AZ83" s="323"/>
      <c r="BA83" s="323"/>
      <c r="BB83" s="323"/>
      <c r="BC83" s="323"/>
      <c r="BD83" s="323"/>
      <c r="BE83" s="323"/>
      <c r="BF83" s="323"/>
      <c r="BG83" s="323"/>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c r="CL83" s="323"/>
      <c r="CM83" s="323"/>
      <c r="CN83" s="323"/>
      <c r="CO83" s="323"/>
      <c r="CP83" s="431"/>
      <c r="CQ83" s="433"/>
      <c r="CR83" s="323"/>
      <c r="CS83" s="323"/>
      <c r="CT83" s="323"/>
      <c r="CU83" s="323"/>
      <c r="CV83" s="323"/>
      <c r="CW83" s="323"/>
      <c r="CX83" s="323"/>
      <c r="CY83" s="323"/>
      <c r="CZ83" s="323"/>
      <c r="EK83" s="1070"/>
      <c r="EL83" s="1070"/>
      <c r="EM83" s="1070"/>
      <c r="EN83" s="1070"/>
      <c r="EO83" s="1070"/>
      <c r="EP83" s="1070"/>
      <c r="EQ83" s="1070"/>
    </row>
    <row r="84" spans="2:222" ht="40.4" customHeight="1" outlineLevel="1" x14ac:dyDescent="0.35">
      <c r="B84" s="194"/>
      <c r="C84" s="665">
        <v>0</v>
      </c>
      <c r="D84" s="908" t="s">
        <v>797</v>
      </c>
      <c r="E84" s="909"/>
      <c r="F84" s="338" t="s">
        <v>82</v>
      </c>
      <c r="G84" s="338" t="s">
        <v>83</v>
      </c>
      <c r="H84" s="346" t="s">
        <v>84</v>
      </c>
      <c r="I84" s="913" t="s">
        <v>797</v>
      </c>
      <c r="J84" s="914"/>
      <c r="K84" s="479" t="s">
        <v>82</v>
      </c>
      <c r="L84" s="479" t="s">
        <v>83</v>
      </c>
      <c r="M84" s="508" t="s">
        <v>84</v>
      </c>
      <c r="N84" s="195" t="s">
        <v>4</v>
      </c>
      <c r="O84" s="195" t="s">
        <v>85</v>
      </c>
      <c r="P84" s="195" t="s">
        <v>5</v>
      </c>
      <c r="Q84" s="357" t="s">
        <v>86</v>
      </c>
      <c r="R84" s="192"/>
      <c r="S84" s="196"/>
      <c r="V84" s="251"/>
      <c r="W84" s="323" t="s">
        <v>87</v>
      </c>
      <c r="X84" s="323" t="s">
        <v>88</v>
      </c>
      <c r="Y84" s="323" t="s">
        <v>89</v>
      </c>
      <c r="Z84" s="323" t="s">
        <v>90</v>
      </c>
      <c r="AA84" s="323" t="s">
        <v>91</v>
      </c>
      <c r="AB84" s="323"/>
      <c r="AC84" s="323"/>
      <c r="AD84" s="323"/>
      <c r="AE84" s="323" t="s">
        <v>92</v>
      </c>
      <c r="AF84" s="323"/>
      <c r="AG84" s="323"/>
      <c r="AH84" s="323"/>
      <c r="AI84" s="323" t="str">
        <f>'LCA data'!$B$25</f>
        <v>Udvendig konstruktion</v>
      </c>
      <c r="AJ84" s="323">
        <f>VLOOKUP(E87,Pris.udvendig.konstruktion[],2,0)*C87</f>
        <v>0</v>
      </c>
      <c r="AK84" s="323">
        <f>VLOOKUP(J87,Pris.udvendig.konstruktion[],2,0)*C87</f>
        <v>0</v>
      </c>
      <c r="AL84" s="323"/>
      <c r="AM84" s="323"/>
      <c r="AN84" s="323">
        <f>SUM(AN86:AN90)</f>
        <v>0</v>
      </c>
      <c r="AO84" s="323">
        <f>SUM(AO86:AO90)</f>
        <v>0</v>
      </c>
      <c r="AP84" s="323"/>
      <c r="AQ84" s="323"/>
      <c r="AR84" s="323">
        <f>SUM(AR86:AR89)</f>
        <v>0</v>
      </c>
      <c r="AS84" s="323">
        <f>SUM(AS86:AS89)</f>
        <v>0</v>
      </c>
      <c r="AT84" s="323"/>
      <c r="AU84" s="323"/>
      <c r="AV84" s="323"/>
      <c r="AW84" s="323"/>
      <c r="AX84" s="323"/>
      <c r="AY84" s="323"/>
      <c r="AZ84" s="323"/>
      <c r="BA84" s="323"/>
      <c r="BB84" s="323"/>
      <c r="BC84" s="323"/>
      <c r="BD84" s="323"/>
      <c r="BE84" s="323"/>
      <c r="BF84" s="323"/>
      <c r="BG84" s="323"/>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c r="CL84" s="323"/>
      <c r="CM84" s="323"/>
      <c r="CN84" s="323"/>
      <c r="CO84" s="323"/>
      <c r="CP84" s="435"/>
      <c r="CQ84" s="433"/>
      <c r="CR84" s="323"/>
      <c r="CS84" s="323"/>
      <c r="CT84" s="323"/>
      <c r="CU84" s="323"/>
      <c r="CV84" s="323"/>
      <c r="CW84" s="323"/>
      <c r="CX84" s="323"/>
      <c r="CY84" s="323"/>
      <c r="CZ84" s="323"/>
      <c r="EK84" s="1070"/>
      <c r="EL84" s="1070"/>
      <c r="EM84" s="1070"/>
      <c r="EN84" s="1070"/>
      <c r="EO84" s="1070"/>
      <c r="EP84" s="1070"/>
      <c r="EQ84" s="1070"/>
    </row>
    <row r="85" spans="2:222" s="198" customFormat="1" ht="26" customHeight="1" outlineLevel="1" x14ac:dyDescent="0.35">
      <c r="B85" s="199"/>
      <c r="C85" s="200" t="s">
        <v>93</v>
      </c>
      <c r="D85" s="915" t="s">
        <v>811</v>
      </c>
      <c r="E85" s="915"/>
      <c r="F85" s="347" t="s">
        <v>94</v>
      </c>
      <c r="G85" s="348" t="s">
        <v>95</v>
      </c>
      <c r="H85" s="349" t="s">
        <v>96</v>
      </c>
      <c r="I85" s="915" t="s">
        <v>811</v>
      </c>
      <c r="J85" s="915"/>
      <c r="K85" s="510" t="s">
        <v>94</v>
      </c>
      <c r="L85" s="511" t="s">
        <v>95</v>
      </c>
      <c r="M85" s="512" t="s">
        <v>96</v>
      </c>
      <c r="N85" s="201" t="s">
        <v>97</v>
      </c>
      <c r="O85" s="201" t="s">
        <v>97</v>
      </c>
      <c r="P85" s="201" t="s">
        <v>97</v>
      </c>
      <c r="Q85" s="358" t="s">
        <v>97</v>
      </c>
      <c r="R85" s="202"/>
      <c r="S85" s="203"/>
      <c r="T85" s="204"/>
      <c r="U85" s="204"/>
      <c r="V85" s="325"/>
      <c r="W85" s="323">
        <f>SUM(W86:W90)</f>
        <v>0</v>
      </c>
      <c r="X85" s="323">
        <f>SUM(X86:X90)</f>
        <v>0</v>
      </c>
      <c r="Y85" s="323"/>
      <c r="Z85" s="323"/>
      <c r="AA85" s="323"/>
      <c r="AB85" s="323" t="s">
        <v>111</v>
      </c>
      <c r="AC85" s="323" t="s">
        <v>98</v>
      </c>
      <c r="AD85" s="323" t="s">
        <v>99</v>
      </c>
      <c r="AE85" s="323" t="s">
        <v>100</v>
      </c>
      <c r="AF85" s="323"/>
      <c r="AG85" s="323"/>
      <c r="AH85" s="323"/>
      <c r="AI85" s="323" t="str">
        <f>'LCA data'!$B$32</f>
        <v>Isolering</v>
      </c>
      <c r="AJ85" s="323">
        <f>VLOOKUP(E88,Pris.isolering[],2,0)*F88*C88</f>
        <v>0</v>
      </c>
      <c r="AK85" s="323">
        <f>VLOOKUP(J88,Pris.isolering[],2,0)*K88*C88</f>
        <v>0</v>
      </c>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c r="CL85" s="323"/>
      <c r="CM85" s="323"/>
      <c r="CN85" s="323"/>
      <c r="CO85" s="323"/>
      <c r="CP85" s="436"/>
      <c r="CQ85" s="433"/>
      <c r="CR85" s="323"/>
      <c r="CS85" s="323"/>
      <c r="CT85" s="323"/>
      <c r="CU85" s="323"/>
      <c r="CV85" s="323"/>
      <c r="CW85" s="323"/>
      <c r="CX85" s="323"/>
      <c r="CY85" s="323"/>
      <c r="CZ85" s="323"/>
      <c r="DA85" s="325"/>
      <c r="DB85" s="325"/>
      <c r="DC85" s="325"/>
      <c r="DD85" s="325"/>
      <c r="DE85" s="325"/>
      <c r="DF85" s="325"/>
      <c r="DG85" s="325"/>
      <c r="DH85" s="325"/>
      <c r="DI85" s="325"/>
      <c r="DJ85" s="325"/>
      <c r="DK85" s="325"/>
      <c r="DL85" s="325"/>
      <c r="DM85" s="325"/>
      <c r="DN85" s="325"/>
      <c r="DO85" s="325"/>
      <c r="DP85" s="325"/>
      <c r="DQ85" s="325"/>
      <c r="DR85" s="325"/>
      <c r="DS85" s="325"/>
      <c r="DT85" s="325"/>
      <c r="DU85" s="325"/>
      <c r="DV85" s="325"/>
      <c r="DW85" s="325"/>
      <c r="DX85" s="325"/>
      <c r="DY85" s="325"/>
      <c r="DZ85" s="325"/>
      <c r="EA85" s="325"/>
      <c r="EB85" s="325"/>
      <c r="EC85" s="325"/>
      <c r="ED85" s="325"/>
      <c r="EE85" s="325"/>
      <c r="EF85" s="325"/>
      <c r="EG85" s="325"/>
      <c r="EH85" s="325"/>
      <c r="EI85" s="325"/>
      <c r="EJ85" s="325"/>
      <c r="EK85" s="1072"/>
      <c r="EL85" s="1072"/>
      <c r="EM85" s="1072"/>
      <c r="EN85" s="1072"/>
      <c r="EO85" s="1072"/>
      <c r="EP85" s="1072"/>
      <c r="EQ85" s="1072"/>
      <c r="ER85" s="325"/>
      <c r="ES85" s="325"/>
      <c r="ET85" s="325"/>
      <c r="EU85" s="325"/>
      <c r="EV85" s="325"/>
      <c r="EW85" s="325"/>
      <c r="EX85" s="325"/>
      <c r="EY85" s="325"/>
      <c r="EZ85" s="325"/>
      <c r="FA85" s="325"/>
      <c r="FB85" s="325"/>
      <c r="FC85" s="325"/>
      <c r="FD85" s="325"/>
      <c r="FE85" s="325"/>
      <c r="FF85" s="325"/>
      <c r="FG85" s="325"/>
      <c r="FH85" s="325"/>
      <c r="FI85" s="325"/>
      <c r="FJ85" s="325"/>
      <c r="FK85" s="325"/>
      <c r="FL85" s="325"/>
      <c r="FM85" s="325"/>
      <c r="FN85" s="325"/>
      <c r="FO85" s="325"/>
      <c r="FP85" s="325"/>
      <c r="FQ85" s="325"/>
      <c r="FR85" s="325"/>
      <c r="FS85" s="325"/>
      <c r="FT85" s="325"/>
      <c r="FU85" s="325"/>
      <c r="FV85" s="325"/>
      <c r="FW85" s="325"/>
      <c r="FX85" s="325"/>
      <c r="FY85" s="325"/>
      <c r="FZ85" s="325"/>
      <c r="GA85" s="325"/>
      <c r="GB85" s="325"/>
      <c r="GC85" s="325"/>
      <c r="GD85" s="325"/>
      <c r="GE85" s="325"/>
      <c r="GF85" s="325"/>
      <c r="GG85" s="325"/>
      <c r="GH85" s="325"/>
      <c r="GI85" s="325"/>
      <c r="GJ85" s="325"/>
      <c r="GK85" s="325"/>
      <c r="GL85" s="325"/>
      <c r="GM85" s="325"/>
      <c r="GN85" s="325"/>
      <c r="GO85" s="325"/>
      <c r="GP85" s="325"/>
      <c r="GQ85" s="325"/>
      <c r="GR85" s="325"/>
      <c r="GS85" s="325"/>
      <c r="GT85" s="325"/>
      <c r="GU85" s="325"/>
      <c r="GV85" s="325"/>
      <c r="GW85" s="325"/>
      <c r="GX85" s="325"/>
      <c r="GY85" s="325"/>
      <c r="GZ85" s="325"/>
      <c r="HA85" s="325"/>
      <c r="HB85" s="325"/>
      <c r="HC85" s="325"/>
      <c r="HD85" s="325"/>
      <c r="HE85" s="325"/>
      <c r="HF85" s="325"/>
      <c r="HG85" s="325"/>
      <c r="HH85" s="325"/>
      <c r="HI85" s="325"/>
      <c r="HJ85" s="325"/>
      <c r="HK85" s="325"/>
      <c r="HL85" s="325"/>
      <c r="HM85" s="325"/>
      <c r="HN85" s="325"/>
    </row>
    <row r="86" spans="2:222" ht="40.4" customHeight="1" outlineLevel="1" thickBot="1" x14ac:dyDescent="0.4">
      <c r="B86" s="205" t="str">
        <f>'LCA data'!$B$8</f>
        <v>Udvendig beklædning</v>
      </c>
      <c r="C86" s="465">
        <f>C$84*$C$42</f>
        <v>0</v>
      </c>
      <c r="D86" s="15" t="s">
        <v>103</v>
      </c>
      <c r="E86" s="342" t="str">
        <f>IF($D$85=$D$82,D86,VLOOKUP(B86,Auto_Ydervæg[],VLOOKUP($D$85,Type_Tung_Middel_Let[],2,0),0))</f>
        <v>Angiv ikke</v>
      </c>
      <c r="F86" s="356">
        <f>(VLOOKUP(E86,Pris.udvendig.beklædning[],4,0))/1000</f>
        <v>0</v>
      </c>
      <c r="G86" s="350"/>
      <c r="H86" s="351" t="str">
        <f>IFERROR(IF(VLOOKUP(B86&amp;"_"&amp;E86,'LCA data'!$B$7:$X$200,2,FALSE)&lt;$Y$24,1,0)+IF(VLOOKUP(B86&amp;"_"&amp;E86,'LCA data'!$B$7:$X$200,2,FALSE)*2&lt;$Y$24,1,0),"")</f>
        <v/>
      </c>
      <c r="I86" s="15" t="s">
        <v>103</v>
      </c>
      <c r="J86" s="342" t="str">
        <f>IF($I$85=$D$82,I86,VLOOKUP(B86,Auto_Ydervæg[],VLOOKUP(I$85,Type_Tung_Middel_Let[],2,0),0))</f>
        <v>Angiv ikke</v>
      </c>
      <c r="K86" s="513">
        <f>(VLOOKUP(J86,Pris.udvendig.beklædning[],4,0))/1000</f>
        <v>0</v>
      </c>
      <c r="L86" s="514"/>
      <c r="M86" s="515" t="str">
        <f>IFERROR(IF(VLOOKUP(B86&amp;"_"&amp;J86,'LCA data'!$B$7:$X$200,2,FALSE)&lt;$Y$24,1,0)+IF(VLOOKUP(B86&amp;"_"&amp;J86,'LCA data'!$B$7:$X$200,2,FALSE)*2&lt;$Y$24,1,0),"")</f>
        <v/>
      </c>
      <c r="N86" s="206">
        <f>W86/1000</f>
        <v>0</v>
      </c>
      <c r="O86" s="878">
        <f>SUM(N86:N90)</f>
        <v>0</v>
      </c>
      <c r="P86" s="207">
        <f>X86/1000</f>
        <v>0</v>
      </c>
      <c r="Q86" s="888">
        <f>SUM(P86:P90)</f>
        <v>0</v>
      </c>
      <c r="R86" s="192"/>
      <c r="S86" s="196"/>
      <c r="V86" s="251"/>
      <c r="W86" s="323">
        <f>IF(E86="Angiv ikke",0,((1+H86)*VLOOKUP(B86&amp;"_"&amp;E86,'LCA data'!$B$7:$X$360,19,FALSE)*(F86*10^3)*C86))</f>
        <v>0</v>
      </c>
      <c r="X86" s="323">
        <f>IF(J86="Angiv ikke",0,((1+M86)*VLOOKUP(B86&amp;"_"&amp;J86,'LCA data'!$B$7:$X$360,19,FALSE)*(K86*10^3)*C86))</f>
        <v>0</v>
      </c>
      <c r="Y86" s="323"/>
      <c r="Z86" s="323"/>
      <c r="AA86" s="323" t="s">
        <v>4</v>
      </c>
      <c r="AB86" s="323">
        <f>AF86/$J$21/$Y$24*1000</f>
        <v>0</v>
      </c>
      <c r="AC86" s="323">
        <f>Varmetab!H68</f>
        <v>0</v>
      </c>
      <c r="AD86" s="323">
        <f>AB86+AC86</f>
        <v>0</v>
      </c>
      <c r="AE86" s="323" t="s">
        <v>4</v>
      </c>
      <c r="AF86" s="323">
        <f>W85/1000</f>
        <v>0</v>
      </c>
      <c r="AG86" s="323"/>
      <c r="AH86" s="323"/>
      <c r="AI86" s="323" t="str">
        <f>'LCA data'!$B$52</f>
        <v>Indvendig konstruktion</v>
      </c>
      <c r="AJ86" s="323">
        <f>VLOOKUP(E89,Pris.indvendig.konstruktion[],2,0)*F89*C89</f>
        <v>0</v>
      </c>
      <c r="AK86" s="323">
        <f>VLOOKUP(J89,Pris.indvendig.konstruktion[],2,0)*K89*C89</f>
        <v>0</v>
      </c>
      <c r="AL86" s="323"/>
      <c r="AM86" s="323"/>
      <c r="AN86" s="323">
        <f>IF(E86="Angiv ikke",0,((1+H86)*VLOOKUP(B86&amp;"_"&amp;E86,'LCA data'!$B$7:$X$360,20,FALSE)*(F86*10^3)*C86))</f>
        <v>0</v>
      </c>
      <c r="AO86" s="323">
        <f>IF(J86="Angiv ikke",0,((1+M86)*VLOOKUP(B86&amp;"_"&amp;J86,'LCA data'!$B$7:$X$360,20,FALSE)*(K86*10^3)*C86))</f>
        <v>0</v>
      </c>
      <c r="AP86" s="323"/>
      <c r="AQ86" s="323"/>
      <c r="AR86" s="323">
        <f>IF(E86="Angiv ikke",0,((1+H86)*VLOOKUP(B86&amp;"_"&amp;E86,'LCA data'!$B$7:$AA$360,26,FALSE)*(F86*10^3)*C86))</f>
        <v>0</v>
      </c>
      <c r="AS86" s="323">
        <f>IF(J86="Angiv ikke",0,((1+M86)*VLOOKUP(B86&amp;"_"&amp;J86,'LCA data'!$B$7:$AA$360,26,FALSE)*(K86*10^3)*C86))</f>
        <v>0</v>
      </c>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c r="CL86" s="323"/>
      <c r="CM86" s="323"/>
      <c r="CN86" s="323"/>
      <c r="CO86" s="323"/>
      <c r="CP86" s="437"/>
      <c r="CQ86" s="438"/>
      <c r="CR86" s="323"/>
      <c r="CS86" s="323"/>
      <c r="CT86" s="323"/>
      <c r="CU86" s="323"/>
      <c r="CV86" s="323"/>
      <c r="CW86" s="323"/>
      <c r="CX86" s="323"/>
      <c r="CY86" s="323"/>
      <c r="CZ86" s="323"/>
      <c r="EK86" s="1070"/>
      <c r="EL86" s="1070"/>
      <c r="EM86" s="1070"/>
      <c r="EN86" s="1070"/>
      <c r="EO86" s="1070"/>
      <c r="EP86" s="1070"/>
      <c r="EQ86" s="1070"/>
    </row>
    <row r="87" spans="2:222" ht="40.4" customHeight="1" outlineLevel="1" x14ac:dyDescent="0.35">
      <c r="B87" s="205" t="str">
        <f>'LCA data'!$B$25</f>
        <v>Udvendig konstruktion</v>
      </c>
      <c r="C87" s="465">
        <f t="shared" ref="C87:C90" si="8">C$84*$C$42</f>
        <v>0</v>
      </c>
      <c r="D87" s="168" t="s">
        <v>103</v>
      </c>
      <c r="E87" s="342" t="str">
        <f>IF($D$85=$D$82,D87,VLOOKUP(B87,Auto_Ydervæg[],VLOOKUP($D$85,Type_Tung_Middel_Let[],2,0),0))</f>
        <v>Angiv ikke</v>
      </c>
      <c r="F87" s="356"/>
      <c r="G87" s="353"/>
      <c r="H87" s="351" t="str">
        <f>IFERROR(IF(VLOOKUP(B87&amp;"_"&amp;E87,'LCA data'!$B$7:$X$200,2,FALSE)&lt;$Y$24,1,0)+IF(VLOOKUP(B87&amp;"_"&amp;E87,'LCA data'!$B$7:$X$200,2,FALSE)*2&lt;$Y$24,1,0),"")</f>
        <v/>
      </c>
      <c r="I87" s="168" t="s">
        <v>103</v>
      </c>
      <c r="J87" s="342" t="str">
        <f>IF($I$85=$D$82,I87,VLOOKUP(B87,Auto_Ydervæg[],VLOOKUP(I$85,Type_Tung_Middel_Let[],2,0),0))</f>
        <v>Angiv ikke</v>
      </c>
      <c r="K87" s="513"/>
      <c r="L87" s="514"/>
      <c r="M87" s="515" t="str">
        <f>IFERROR(IF(VLOOKUP(B87&amp;"_"&amp;J87,'LCA data'!$B$7:$X$200,2,FALSE)&lt;$Y$24,1,0)+IF(VLOOKUP(B87&amp;"_"&amp;J87,'LCA data'!$B$7:$X$200,2,FALSE)*2&lt;$Y$24,1,0),"")</f>
        <v/>
      </c>
      <c r="N87" s="206">
        <f>W87/1000</f>
        <v>0</v>
      </c>
      <c r="O87" s="878"/>
      <c r="P87" s="207">
        <f>X87/1000</f>
        <v>0</v>
      </c>
      <c r="Q87" s="889"/>
      <c r="R87" s="192"/>
      <c r="S87" s="196"/>
      <c r="V87" s="251"/>
      <c r="W87" s="323">
        <f>IF(E87="Angiv ikke",0,((1+H87)*VLOOKUP(B87&amp;"_"&amp;E87,'LCA data'!$B$7:$X$360,19,FALSE)*C87))</f>
        <v>0</v>
      </c>
      <c r="X87" s="323">
        <f>IF(J87="Angiv ikke",0,((1+M87)*VLOOKUP(B87&amp;"_"&amp;J87,'LCA data'!$B$7:$X$360,19,FALSE)*C87))</f>
        <v>0</v>
      </c>
      <c r="Y87" s="323"/>
      <c r="Z87" s="323"/>
      <c r="AA87" s="323" t="s">
        <v>5</v>
      </c>
      <c r="AB87" s="323">
        <f>AG87/$J$21/$Y$24*1000</f>
        <v>0</v>
      </c>
      <c r="AC87" s="323">
        <f>Varmetab!I68</f>
        <v>0</v>
      </c>
      <c r="AD87" s="323">
        <f>AB87+AC87</f>
        <v>0</v>
      </c>
      <c r="AE87" s="323" t="s">
        <v>5</v>
      </c>
      <c r="AF87" s="323"/>
      <c r="AG87" s="323">
        <f>X85/1000</f>
        <v>0</v>
      </c>
      <c r="AH87" s="323"/>
      <c r="AI87" s="323" t="str">
        <f>'LCA data'!$B$65</f>
        <v>Indvendig beklædning</v>
      </c>
      <c r="AJ87" s="323">
        <f>VLOOKUP(E90,Pris.indvendig.beklædning[],2,0)*C90</f>
        <v>0</v>
      </c>
      <c r="AK87" s="323">
        <f>VLOOKUP(J90,Pris.indvendig.beklædning[],2,0)*C90</f>
        <v>0</v>
      </c>
      <c r="AL87" s="323"/>
      <c r="AM87" s="323"/>
      <c r="AN87" s="323">
        <f>IF(E87="Angiv ikke",0,((1+H87)*VLOOKUP(B87&amp;"_"&amp;E87,'LCA data'!$B$7:$X$360,20,FALSE)*(F87*10^3)*C87))</f>
        <v>0</v>
      </c>
      <c r="AO87" s="323">
        <f>IF(J87="Angiv ikke",0,((1+M87)*VLOOKUP(B87&amp;"_"&amp;J87,'LCA data'!$B$7:$X$360,20,FALSE)*(K87*10^3)*C87))</f>
        <v>0</v>
      </c>
      <c r="AP87" s="323"/>
      <c r="AQ87" s="323"/>
      <c r="AR87" s="323">
        <f>IF(E87="Angiv ikke",0,((1+H87)*VLOOKUP(B87&amp;"_"&amp;E87,'LCA data'!$B$7:$AA$360,26,FALSE)*(F87*10^3)*C87))</f>
        <v>0</v>
      </c>
      <c r="AS87" s="323">
        <f>IF(J87="Angiv ikke",0,((1+M87)*VLOOKUP(B87&amp;"_"&amp;J87,'LCA data'!$B$7:$AA$360,26,FALSE)*(K87*10^3)*C87))</f>
        <v>0</v>
      </c>
      <c r="AT87" s="323"/>
      <c r="AU87" s="323"/>
      <c r="AV87" s="323"/>
      <c r="AW87" s="323"/>
      <c r="AX87" s="323"/>
      <c r="AY87" s="323"/>
      <c r="AZ87" s="323"/>
      <c r="BA87" s="323"/>
      <c r="BB87" s="323"/>
      <c r="BC87" s="323"/>
      <c r="BD87" s="323"/>
      <c r="BE87" s="323"/>
      <c r="BF87" s="323"/>
      <c r="BG87" s="323"/>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c r="CL87" s="323"/>
      <c r="CM87" s="323"/>
      <c r="CN87" s="323"/>
      <c r="CO87" s="323"/>
      <c r="CP87" s="439"/>
      <c r="CQ87" s="440"/>
      <c r="CR87" s="323"/>
      <c r="CS87" s="323"/>
      <c r="CT87" s="323"/>
      <c r="CU87" s="323"/>
      <c r="CV87" s="323"/>
      <c r="CW87" s="323"/>
      <c r="CX87" s="323"/>
      <c r="CY87" s="323"/>
      <c r="CZ87" s="323"/>
      <c r="EK87" s="1070"/>
      <c r="EL87" s="1070"/>
      <c r="EM87" s="1070"/>
      <c r="EN87" s="1070"/>
      <c r="EO87" s="1070"/>
      <c r="EP87" s="1070"/>
      <c r="EQ87" s="1070"/>
    </row>
    <row r="88" spans="2:222" ht="40.4" customHeight="1" outlineLevel="1" thickBot="1" x14ac:dyDescent="0.4">
      <c r="B88" s="208" t="str">
        <f>'LCA data'!$B$32</f>
        <v>Isolering</v>
      </c>
      <c r="C88" s="465">
        <f t="shared" si="8"/>
        <v>0</v>
      </c>
      <c r="D88" s="169" t="s">
        <v>103</v>
      </c>
      <c r="E88" s="342" t="str">
        <f>IF($D$85=$D$82,D88,VLOOKUP(B88,Auto_Ydervæg[],VLOOKUP($D$85,Type_Tung_Middel_Let[],2,0),0))</f>
        <v>Angiv ikke</v>
      </c>
      <c r="F88" s="172">
        <v>0.3</v>
      </c>
      <c r="G88" s="478" t="str">
        <f>VLOOKUP(E88,Isoleringsmateriale[],2,0)</f>
        <v>?</v>
      </c>
      <c r="H88" s="351" t="str">
        <f>IFERROR(IF(VLOOKUP(B88&amp;"_"&amp;E88,'LCA data'!$B$7:$X$200,2,FALSE)&lt;$Y$24,1,0)+IF(VLOOKUP(B88&amp;"_"&amp;E88,'LCA data'!$B$7:$X$200,2,FALSE)*2&lt;$Y$24,1,0),"")</f>
        <v/>
      </c>
      <c r="I88" s="169" t="s">
        <v>103</v>
      </c>
      <c r="J88" s="342" t="str">
        <f>IF($I$85=$D$82,I88,VLOOKUP(B88,Auto_Ydervæg[],VLOOKUP(I$85,Type_Tung_Middel_Let[],2,0),0))</f>
        <v>Angiv ikke</v>
      </c>
      <c r="K88" s="172">
        <v>0.3</v>
      </c>
      <c r="L88" s="478" t="str">
        <f>VLOOKUP(J88,Isoleringsmateriale[],2,0)</f>
        <v>?</v>
      </c>
      <c r="M88" s="515" t="str">
        <f>IFERROR(IF(VLOOKUP(B88&amp;"_"&amp;J88,'LCA data'!$B$7:$X$200,2,FALSE)&lt;$Y$24,1,0)+IF(VLOOKUP(B88&amp;"_"&amp;J88,'LCA data'!$B$7:$X$200,2,FALSE)*2&lt;$Y$24,1,0),"")</f>
        <v/>
      </c>
      <c r="N88" s="206">
        <f>IFERROR(W88/1000,0)</f>
        <v>0</v>
      </c>
      <c r="O88" s="878"/>
      <c r="P88" s="207">
        <f>IFERROR(X88/1000,0)</f>
        <v>0</v>
      </c>
      <c r="Q88" s="889"/>
      <c r="R88" s="192"/>
      <c r="S88" s="196"/>
      <c r="V88" s="251"/>
      <c r="W88" s="323">
        <f>IFERROR(IF(E88="Angiv ikke",0,((1+H88)*VLOOKUP(B88&amp;"_"&amp;E88,'LCA data'!$B$7:$X$360,19,FALSE)*(F88*10^3)*C88)),"0")</f>
        <v>0</v>
      </c>
      <c r="X88" s="323">
        <f>IFERROR(IF(J88="Angiv ikke",0,((1+M88)*VLOOKUP(B88&amp;"_"&amp;J88,'LCA data'!$B$7:$X$360,19,FALSE)*(K88*10^3)*C88)),"0")</f>
        <v>0</v>
      </c>
      <c r="Y88" s="323">
        <f>IF(G88="_",0,Varmetab!H68*$J$21*$Y$24)</f>
        <v>0</v>
      </c>
      <c r="Z88" s="323">
        <f>IF(L88="_",0,Varmetab!I68*$J$21*$Y$24)</f>
        <v>0</v>
      </c>
      <c r="AA88" s="323"/>
      <c r="AB88" s="323"/>
      <c r="AC88" s="323"/>
      <c r="AD88" s="323"/>
      <c r="AE88" s="323"/>
      <c r="AF88" s="323"/>
      <c r="AG88" s="323"/>
      <c r="AH88" s="323"/>
      <c r="AI88" s="323" t="s">
        <v>743</v>
      </c>
      <c r="AJ88" s="323">
        <f>SUM(AJ83:AJ87)</f>
        <v>0</v>
      </c>
      <c r="AK88" s="323">
        <f>SUM(AK83:AK87)</f>
        <v>0</v>
      </c>
      <c r="AL88" s="323"/>
      <c r="AM88" s="323"/>
      <c r="AN88" s="323">
        <f>IF(E88="Angiv ikke",0,((1+H88)*VLOOKUP(B88&amp;"_"&amp;E88,'LCA data'!$B$7:$X$360,20,FALSE)*(F88*10^3)*C88))</f>
        <v>0</v>
      </c>
      <c r="AO88" s="323">
        <f>IF(J88="Angiv ikke",0,((1+M88)*VLOOKUP(B88&amp;"_"&amp;J88,'LCA data'!$B$7:$X$360,20,FALSE)*(K88*10^3)*C88))</f>
        <v>0</v>
      </c>
      <c r="AP88" s="323"/>
      <c r="AQ88" s="323"/>
      <c r="AR88" s="323">
        <f>IF(E88="Angiv ikke",0,((1+H88)*VLOOKUP(B88&amp;"_"&amp;E88,'LCA data'!$B$7:$AA$360,26,FALSE)*(F88*10^3)*C88))</f>
        <v>0</v>
      </c>
      <c r="AS88" s="323">
        <f>IF(J88="Angiv ikke",0,((1+M88)*VLOOKUP(B88&amp;"_"&amp;J88,'LCA data'!$B$7:$AA$360,26,FALSE)*(K88*10^3)*C88))</f>
        <v>0</v>
      </c>
      <c r="AT88" s="323"/>
      <c r="AU88" s="323"/>
      <c r="AV88" s="323"/>
      <c r="AW88" s="323"/>
      <c r="AX88" s="323"/>
      <c r="AY88" s="323"/>
      <c r="AZ88" s="323"/>
      <c r="BA88" s="323"/>
      <c r="BB88" s="323"/>
      <c r="BC88" s="323"/>
      <c r="BD88" s="323"/>
      <c r="BE88" s="323"/>
      <c r="BF88" s="323"/>
      <c r="BG88" s="323"/>
      <c r="BH88" s="323"/>
      <c r="BI88" s="323"/>
      <c r="BJ88" s="323"/>
      <c r="BK88" s="323"/>
      <c r="BL88" s="323"/>
      <c r="BM88" s="323"/>
      <c r="BN88" s="323"/>
      <c r="BO88" s="323"/>
      <c r="BP88" s="323"/>
      <c r="BQ88" s="323"/>
      <c r="BR88" s="323"/>
      <c r="BS88" s="323"/>
      <c r="BT88" s="323"/>
      <c r="BU88" s="323"/>
      <c r="BV88" s="323"/>
      <c r="BW88" s="323"/>
      <c r="BX88" s="323"/>
      <c r="BY88" s="323"/>
      <c r="BZ88" s="323"/>
      <c r="CA88" s="323"/>
      <c r="CB88" s="323"/>
      <c r="CC88" s="323"/>
      <c r="CD88" s="323"/>
      <c r="CE88" s="323"/>
      <c r="CF88" s="323"/>
      <c r="CG88" s="323"/>
      <c r="CH88" s="323"/>
      <c r="CI88" s="323"/>
      <c r="CJ88" s="323"/>
      <c r="CK88" s="323"/>
      <c r="CL88" s="323"/>
      <c r="CM88" s="323"/>
      <c r="CN88" s="323"/>
      <c r="CO88" s="323"/>
      <c r="CP88" s="439"/>
      <c r="CQ88" s="440"/>
      <c r="CR88" s="323"/>
      <c r="CS88" s="323"/>
      <c r="CT88" s="323"/>
      <c r="CU88" s="323"/>
      <c r="CV88" s="323"/>
      <c r="CW88" s="323"/>
      <c r="CX88" s="323"/>
      <c r="CY88" s="323"/>
      <c r="CZ88" s="323"/>
      <c r="EK88" s="1070"/>
      <c r="EL88" s="1070"/>
      <c r="EM88" s="1070"/>
      <c r="EN88" s="1070"/>
      <c r="EO88" s="1070"/>
      <c r="EP88" s="1070"/>
      <c r="EQ88" s="1070"/>
    </row>
    <row r="89" spans="2:222" ht="40.4" customHeight="1" outlineLevel="1" x14ac:dyDescent="0.35">
      <c r="B89" s="205" t="str">
        <f>'LCA data'!$B$52</f>
        <v>Indvendig konstruktion</v>
      </c>
      <c r="C89" s="465">
        <f t="shared" si="8"/>
        <v>0</v>
      </c>
      <c r="D89" s="16" t="s">
        <v>103</v>
      </c>
      <c r="E89" s="342" t="str">
        <f>IF($D$85=$D$82,D89,VLOOKUP(B89,Auto_Ydervæg[],VLOOKUP($D$85,Type_Tung_Middel_Let[],2,0),0))</f>
        <v>Angiv ikke</v>
      </c>
      <c r="F89" s="299">
        <f>IF(OR(E89="Stålskelet",E89="Træskelet"),F88,(VLOOKUP(E89,Pris.indvendig.konstruktion[],4,0)/1000))</f>
        <v>0</v>
      </c>
      <c r="G89" s="350"/>
      <c r="H89" s="351" t="str">
        <f>IFERROR(IF(VLOOKUP(B89&amp;"_"&amp;E89,'LCA data'!$B$7:$X$200,2,FALSE)&lt;$Y$24,1,0)+IF(VLOOKUP(B89&amp;"_"&amp;E89,'LCA data'!$B$7:$X$200,2,FALSE)*2&lt;$Y$24,1,0),"")</f>
        <v/>
      </c>
      <c r="I89" s="16" t="s">
        <v>103</v>
      </c>
      <c r="J89" s="342" t="str">
        <f>IF($I$85=$D$82,I89,VLOOKUP(B89,Auto_Ydervæg[],VLOOKUP(I$85,Type_Tung_Middel_Let[],2,0),0))</f>
        <v>Angiv ikke</v>
      </c>
      <c r="K89" s="299">
        <f>IF(OR(J89="Stålskelet",J89="Træskelet"),K88,(VLOOKUP(J89,Pris.indvendig.konstruktion[],4,0)/1000))</f>
        <v>0</v>
      </c>
      <c r="L89" s="514"/>
      <c r="M89" s="515" t="str">
        <f>IFERROR(IF(VLOOKUP(B89&amp;"_"&amp;J89,'LCA data'!$B$7:$X$200,2,FALSE)&lt;$Y$24,1,0)+IF(VLOOKUP(B89&amp;"_"&amp;J89,'LCA data'!$B$7:$X$200,2,FALSE)*2&lt;$Y$24,1,0),"")</f>
        <v/>
      </c>
      <c r="N89" s="206">
        <f>W89/1000</f>
        <v>0</v>
      </c>
      <c r="O89" s="878"/>
      <c r="P89" s="207">
        <f>X89/1000</f>
        <v>0</v>
      </c>
      <c r="Q89" s="889"/>
      <c r="R89" s="192"/>
      <c r="S89" s="196"/>
      <c r="V89" s="251"/>
      <c r="W89" s="323">
        <f>IF(E89="Angiv ikke",0,((1+H89)*VLOOKUP(B89&amp;"_"&amp;E89,'LCA data'!$B$7:$X$360,19,FALSE)*(F89*10^3)*C89))</f>
        <v>0</v>
      </c>
      <c r="X89" s="323">
        <f>IF(J89="Angiv ikke",0,((1+M89)*VLOOKUP(B89&amp;"_"&amp;J89,'LCA data'!$B$7:$X$360,19,FALSE)*(K89*10^3)*C89))</f>
        <v>0</v>
      </c>
      <c r="Y89" s="323"/>
      <c r="Z89" s="323"/>
      <c r="AA89" s="323"/>
      <c r="AB89" s="323"/>
      <c r="AC89" s="323"/>
      <c r="AD89" s="323"/>
      <c r="AE89" s="323"/>
      <c r="AF89" s="323"/>
      <c r="AG89" s="323"/>
      <c r="AH89" s="323"/>
      <c r="AI89" s="323"/>
      <c r="AJ89" s="323"/>
      <c r="AK89" s="323"/>
      <c r="AL89" s="323"/>
      <c r="AM89" s="323"/>
      <c r="AN89" s="323">
        <f>IF(E89="Angiv ikke",0,((1+H89)*VLOOKUP(B89&amp;"_"&amp;E89,'LCA data'!$B$7:$X$360,20,FALSE)*(F89*10^3)*C89))</f>
        <v>0</v>
      </c>
      <c r="AO89" s="323">
        <f>IF(J89="Angiv ikke",0,((1+M89)*VLOOKUP(B89&amp;"_"&amp;J89,'LCA data'!$B$7:$X$360,20,FALSE)*(K89*10^3)*C89))</f>
        <v>0</v>
      </c>
      <c r="AP89" s="323"/>
      <c r="AQ89" s="323"/>
      <c r="AR89" s="323">
        <f>IF(E89="Angiv ikke",0,((1+H89)*VLOOKUP(B89&amp;"_"&amp;E89,'LCA data'!$B$7:$AA$360,26,FALSE)*(F89*10^3)*C89))</f>
        <v>0</v>
      </c>
      <c r="AS89" s="323">
        <f>IF(J89="Angiv ikke",0,((1+M89)*VLOOKUP(B89&amp;"_"&amp;J89,'LCA data'!$B$7:$AA$360,26,FALSE)*(K89*10^3)*C89))</f>
        <v>0</v>
      </c>
      <c r="AT89" s="323"/>
      <c r="AU89" s="323"/>
      <c r="AV89" s="323"/>
      <c r="AW89" s="323"/>
      <c r="AX89" s="323"/>
      <c r="AY89" s="323"/>
      <c r="AZ89" s="323"/>
      <c r="BA89" s="323"/>
      <c r="BB89" s="323"/>
      <c r="BC89" s="323"/>
      <c r="BD89" s="323"/>
      <c r="BE89" s="323"/>
      <c r="BF89" s="323"/>
      <c r="BG89" s="323"/>
      <c r="BH89" s="323"/>
      <c r="BI89" s="323"/>
      <c r="BJ89" s="323"/>
      <c r="BK89" s="323"/>
      <c r="BL89" s="323"/>
      <c r="BM89" s="323"/>
      <c r="BN89" s="323"/>
      <c r="BO89" s="323"/>
      <c r="BP89" s="323"/>
      <c r="BQ89" s="323"/>
      <c r="BR89" s="323"/>
      <c r="BS89" s="323"/>
      <c r="BT89" s="323"/>
      <c r="BU89" s="323"/>
      <c r="BV89" s="323"/>
      <c r="BW89" s="323"/>
      <c r="BX89" s="323"/>
      <c r="BY89" s="323"/>
      <c r="BZ89" s="323"/>
      <c r="CA89" s="323"/>
      <c r="CB89" s="323"/>
      <c r="CC89" s="323"/>
      <c r="CD89" s="323"/>
      <c r="CE89" s="323"/>
      <c r="CF89" s="323"/>
      <c r="CG89" s="323"/>
      <c r="CH89" s="323"/>
      <c r="CI89" s="323"/>
      <c r="CJ89" s="323"/>
      <c r="CK89" s="323"/>
      <c r="CL89" s="323"/>
      <c r="CM89" s="323"/>
      <c r="CN89" s="323"/>
      <c r="CO89" s="323"/>
      <c r="CP89" s="1144" t="s">
        <v>77</v>
      </c>
      <c r="CQ89" s="1145"/>
      <c r="CR89" s="323"/>
      <c r="CS89" s="323"/>
      <c r="CT89" s="323"/>
      <c r="CU89" s="323"/>
      <c r="CV89" s="323"/>
      <c r="CW89" s="323"/>
      <c r="CX89" s="323"/>
      <c r="CY89" s="323"/>
      <c r="CZ89" s="323"/>
      <c r="EK89" s="1070"/>
      <c r="EL89" s="1070"/>
      <c r="EM89" s="1070"/>
      <c r="EN89" s="1070"/>
      <c r="EO89" s="1070"/>
      <c r="EP89" s="1070"/>
      <c r="EQ89" s="1070"/>
    </row>
    <row r="90" spans="2:222" ht="40.4" customHeight="1" outlineLevel="1" thickBot="1" x14ac:dyDescent="0.4">
      <c r="B90" s="209" t="str">
        <f>'LCA data'!$B$65</f>
        <v>Indvendig beklædning</v>
      </c>
      <c r="C90" s="464">
        <f t="shared" si="8"/>
        <v>0</v>
      </c>
      <c r="D90" s="171" t="s">
        <v>103</v>
      </c>
      <c r="E90" s="382" t="str">
        <f>IF($D$85=$D$82,D90,VLOOKUP(B90,Auto_Ydervæg[],VLOOKUP($D$85,Type_Tung_Middel_Let[],2,0),0))</f>
        <v>Angiv ikke</v>
      </c>
      <c r="F90" s="459">
        <f>(VLOOKUP(E90,Pris.indvendig.beklædning[],4,0))/1000</f>
        <v>0</v>
      </c>
      <c r="G90" s="354"/>
      <c r="H90" s="355" t="str">
        <f>IFERROR(IF(VLOOKUP(B90&amp;"_"&amp;E90,'LCA data'!$B$7:$X$200,2,FALSE)&lt;$Y$24,1,0)+IF(VLOOKUP(B90&amp;"_"&amp;E90,'LCA data'!$B$7:$X$200,2,FALSE)*2&lt;$Y$24,1,0),"")</f>
        <v/>
      </c>
      <c r="I90" s="171" t="s">
        <v>103</v>
      </c>
      <c r="J90" s="382" t="str">
        <f>IF($I$85=$D$82,I90,VLOOKUP(B90,Auto_Ydervæg[],VLOOKUP(I$85,Type_Tung_Middel_Let[],2,0),0))</f>
        <v>Angiv ikke</v>
      </c>
      <c r="K90" s="518">
        <f>(VLOOKUP(J90,Pris.indvendig.beklædning[],4,0))/1000</f>
        <v>0</v>
      </c>
      <c r="L90" s="519"/>
      <c r="M90" s="520" t="str">
        <f>IFERROR(IF(VLOOKUP(B90&amp;"_"&amp;J90,'LCA data'!$B$7:$X$200,2,FALSE)&lt;$Y$24,1,0)+IF(VLOOKUP(B90&amp;"_"&amp;J90,'LCA data'!$B$7:$X$200,2,FALSE)*2&lt;$Y$24,1,0),"")</f>
        <v/>
      </c>
      <c r="N90" s="210">
        <f>W90/1000</f>
        <v>0</v>
      </c>
      <c r="O90" s="879"/>
      <c r="P90" s="211">
        <f>X90/1000</f>
        <v>0</v>
      </c>
      <c r="Q90" s="890"/>
      <c r="R90" s="212"/>
      <c r="S90" s="213"/>
      <c r="V90" s="251"/>
      <c r="W90" s="323">
        <f>IF(E90="Angiv ikke",0,((1+H90)*VLOOKUP(B90&amp;"_"&amp;E90,'LCA data'!$B$7:$X$360,19,FALSE)*(F90*10^3)*C90))</f>
        <v>0</v>
      </c>
      <c r="X90" s="323">
        <f>IF(J90="Angiv ikke",0,((1+M90)*VLOOKUP(B90&amp;"_"&amp;J90,'LCA data'!$B$7:$X$360,19,FALSE)*(K90*10^3)*C90))</f>
        <v>0</v>
      </c>
      <c r="Y90" s="323"/>
      <c r="Z90" s="323"/>
      <c r="AA90" s="323"/>
      <c r="AB90" s="323"/>
      <c r="AC90" s="323"/>
      <c r="AD90" s="323"/>
      <c r="AE90" s="323"/>
      <c r="AF90" s="323"/>
      <c r="AG90" s="323"/>
      <c r="AH90" s="323"/>
      <c r="AI90" s="323"/>
      <c r="AJ90" s="323"/>
      <c r="AK90" s="323"/>
      <c r="AL90" s="323"/>
      <c r="AM90" s="323"/>
      <c r="AN90" s="323">
        <f>IF(E90="Angiv ikke",0,((1+H90)*VLOOKUP(B90&amp;"_"&amp;E90,'LCA data'!$B$7:$X$360,20,FALSE)*(F90*10^3)*C90))</f>
        <v>0</v>
      </c>
      <c r="AO90" s="323">
        <f>IF(J90="Angiv ikke",0,((1+M90)*VLOOKUP(B90&amp;"_"&amp;J90,'LCA data'!$B$7:$X$360,20,FALSE)*(K90*10^3)*C90))</f>
        <v>0</v>
      </c>
      <c r="AP90" s="323"/>
      <c r="AQ90" s="323"/>
      <c r="AR90" s="323">
        <f>IF(E90="Angiv ikke",0,((1+H90)*VLOOKUP(B90&amp;"_"&amp;E90,'LCA data'!$B$7:$AA$360,26,FALSE)*(F90*10^3)*C90))</f>
        <v>0</v>
      </c>
      <c r="AS90" s="323">
        <f>IF(J90="Angiv ikke",0,((1+M90)*VLOOKUP(B90&amp;"_"&amp;J90,'LCA data'!$B$7:$AA$360,26,FALSE)*(K90*10^3)*C90))</f>
        <v>0</v>
      </c>
      <c r="AT90" s="323"/>
      <c r="AU90" s="323"/>
      <c r="AV90" s="323"/>
      <c r="AW90" s="323"/>
      <c r="AX90" s="323"/>
      <c r="AY90" s="323"/>
      <c r="AZ90" s="323"/>
      <c r="BA90" s="323"/>
      <c r="BB90" s="323"/>
      <c r="BC90" s="323"/>
      <c r="BD90" s="323"/>
      <c r="BE90" s="323"/>
      <c r="BF90" s="323"/>
      <c r="BG90" s="323"/>
      <c r="BH90" s="323"/>
      <c r="BI90" s="323"/>
      <c r="BJ90" s="323"/>
      <c r="BK90" s="323"/>
      <c r="BL90" s="323"/>
      <c r="BM90" s="323"/>
      <c r="BN90" s="323"/>
      <c r="BO90" s="323"/>
      <c r="BP90" s="323"/>
      <c r="BQ90" s="323"/>
      <c r="BR90" s="323"/>
      <c r="BS90" s="323"/>
      <c r="BT90" s="323"/>
      <c r="BU90" s="323"/>
      <c r="BV90" s="323"/>
      <c r="BW90" s="323"/>
      <c r="BX90" s="323"/>
      <c r="BY90" s="323"/>
      <c r="BZ90" s="323"/>
      <c r="CA90" s="323"/>
      <c r="CB90" s="323"/>
      <c r="CC90" s="323"/>
      <c r="CD90" s="323"/>
      <c r="CE90" s="323"/>
      <c r="CF90" s="323"/>
      <c r="CG90" s="323"/>
      <c r="CH90" s="323"/>
      <c r="CI90" s="323"/>
      <c r="CJ90" s="323"/>
      <c r="CK90" s="323"/>
      <c r="CL90" s="323"/>
      <c r="CM90" s="323"/>
      <c r="CN90" s="323"/>
      <c r="CO90" s="323"/>
      <c r="CP90" s="431"/>
      <c r="CQ90" s="432"/>
      <c r="CR90" s="323"/>
      <c r="CS90" s="323"/>
      <c r="CT90" s="323"/>
      <c r="CU90" s="323"/>
      <c r="CV90" s="323"/>
      <c r="CW90" s="323"/>
      <c r="CX90" s="323"/>
      <c r="CY90" s="323"/>
      <c r="CZ90" s="323"/>
      <c r="EK90" s="1070"/>
      <c r="EL90" s="1070"/>
      <c r="EM90" s="1070"/>
      <c r="EN90" s="1070"/>
      <c r="EO90" s="1070"/>
      <c r="EP90" s="1070"/>
      <c r="EQ90" s="1070"/>
    </row>
    <row r="91" spans="2:222" ht="13.5" customHeight="1" outlineLevel="1" x14ac:dyDescent="0.35">
      <c r="B91" s="173" t="s">
        <v>110</v>
      </c>
      <c r="N91" s="215"/>
      <c r="P91" s="216"/>
      <c r="Q91" s="174"/>
      <c r="R91" s="217"/>
      <c r="V91" s="251"/>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c r="BM91" s="323"/>
      <c r="BN91" s="323"/>
      <c r="BO91" s="323"/>
      <c r="BP91" s="323"/>
      <c r="BQ91" s="323"/>
      <c r="BR91" s="323"/>
      <c r="BS91" s="323"/>
      <c r="BT91" s="323"/>
      <c r="BU91" s="323"/>
      <c r="BV91" s="323"/>
      <c r="BW91" s="323"/>
      <c r="BX91" s="323"/>
      <c r="BY91" s="323"/>
      <c r="BZ91" s="323"/>
      <c r="CA91" s="323"/>
      <c r="CB91" s="323"/>
      <c r="CC91" s="323"/>
      <c r="CD91" s="323"/>
      <c r="CE91" s="323"/>
      <c r="CF91" s="323"/>
      <c r="CG91" s="323"/>
      <c r="CH91" s="323"/>
      <c r="CI91" s="323"/>
      <c r="CJ91" s="323"/>
      <c r="CK91" s="323"/>
      <c r="CL91" s="323"/>
      <c r="CM91" s="323"/>
      <c r="CN91" s="323"/>
      <c r="CO91" s="323"/>
      <c r="CP91" s="431"/>
      <c r="CQ91" s="433"/>
      <c r="CR91" s="323"/>
      <c r="CS91" s="323"/>
      <c r="CT91" s="323"/>
      <c r="CU91" s="323"/>
      <c r="CV91" s="323"/>
      <c r="CW91" s="323"/>
      <c r="CX91" s="323"/>
      <c r="CY91" s="323"/>
      <c r="CZ91" s="323"/>
      <c r="EK91" s="1070"/>
      <c r="EL91" s="1070"/>
      <c r="EM91" s="1070"/>
      <c r="EN91" s="1070"/>
      <c r="EO91" s="1070"/>
      <c r="EP91" s="1070"/>
      <c r="EQ91" s="1070"/>
    </row>
    <row r="92" spans="2:222" ht="18.649999999999999" customHeight="1" x14ac:dyDescent="0.5">
      <c r="B92" s="545"/>
      <c r="C92" s="546"/>
      <c r="D92" s="542"/>
      <c r="E92" s="546"/>
      <c r="F92" s="546"/>
      <c r="G92" s="546"/>
      <c r="H92" s="546"/>
      <c r="I92" s="542"/>
      <c r="J92" s="546"/>
      <c r="K92" s="546"/>
      <c r="L92" s="546"/>
      <c r="M92" s="546"/>
      <c r="N92" s="298"/>
      <c r="O92" s="298"/>
      <c r="P92" s="298"/>
      <c r="Q92" s="219"/>
      <c r="S92" s="217"/>
      <c r="V92" s="251"/>
      <c r="W92" s="323"/>
      <c r="X92" s="323"/>
      <c r="Y92" s="323">
        <f>CQ99-X92</f>
        <v>0</v>
      </c>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c r="CF92" s="323"/>
      <c r="CG92" s="323"/>
      <c r="CH92" s="323"/>
      <c r="CI92" s="323"/>
      <c r="CJ92" s="323"/>
      <c r="CK92" s="323"/>
      <c r="CL92" s="323"/>
      <c r="CM92" s="323"/>
      <c r="CN92" s="323"/>
      <c r="CO92" s="323"/>
      <c r="CP92" s="431"/>
      <c r="CQ92" s="434"/>
      <c r="CR92" s="323"/>
      <c r="CS92" s="323"/>
      <c r="CT92" s="323"/>
      <c r="CU92" s="323"/>
      <c r="CV92" s="323"/>
      <c r="CW92" s="323"/>
      <c r="CX92" s="323"/>
      <c r="CY92" s="323"/>
      <c r="CZ92" s="323"/>
      <c r="EK92" s="1070"/>
      <c r="EL92" s="1070"/>
      <c r="EM92" s="1070"/>
      <c r="EN92" s="1070"/>
      <c r="EO92" s="1070"/>
      <c r="EP92" s="1070"/>
      <c r="EQ92" s="1070"/>
    </row>
    <row r="93" spans="2:222" ht="31.5" hidden="1" customHeight="1" outlineLevel="1" x14ac:dyDescent="0.35">
      <c r="B93" s="492" t="s">
        <v>112</v>
      </c>
      <c r="C93" s="499"/>
      <c r="D93" s="499"/>
      <c r="E93" s="506" t="s">
        <v>76</v>
      </c>
      <c r="F93" s="499"/>
      <c r="G93" s="499"/>
      <c r="H93" s="499"/>
      <c r="I93" s="500" t="str">
        <f>"Ydervæg"&amp;" "&amp;3</f>
        <v>Ydervæg 3</v>
      </c>
      <c r="J93" s="499"/>
      <c r="K93" s="499"/>
      <c r="L93" s="499"/>
      <c r="M93" s="499"/>
      <c r="N93" s="499"/>
      <c r="O93" s="499"/>
      <c r="P93" s="499"/>
      <c r="Q93" s="501"/>
      <c r="R93" s="190"/>
      <c r="S93" s="191"/>
      <c r="V93" s="251"/>
      <c r="W93" s="323">
        <f>IF(D96=$D$82,1,0)</f>
        <v>1</v>
      </c>
      <c r="X93" s="323">
        <f>IF(I96=$D$82,1,0)</f>
        <v>1</v>
      </c>
      <c r="Y93" s="323"/>
      <c r="Z93" s="323"/>
      <c r="AA93" s="323"/>
      <c r="AB93" s="323"/>
      <c r="AC93" s="323"/>
      <c r="AD93" s="323"/>
      <c r="AE93" s="323"/>
      <c r="AF93" s="323"/>
      <c r="AG93" s="323"/>
      <c r="AH93" s="323"/>
      <c r="AI93" s="323"/>
      <c r="AJ93" s="323" t="s">
        <v>746</v>
      </c>
      <c r="AK93" s="323" t="s">
        <v>747</v>
      </c>
      <c r="AL93" s="323" t="str">
        <f>IFERROR(AJ93+VLOOKUP(E93&amp;"_"&amp;I93,'LCA data'!$B$7:$X$238,2,FALSE),"")</f>
        <v/>
      </c>
      <c r="AM93" s="323" t="str">
        <f>IFERROR(IF(M93-1&gt;0,VLOOKUP(E93&amp;"_"&amp;I93,'LCA data'!$B$7:$X$200,19,FALSE)*(K93*10^3)*C93,""),"")</f>
        <v/>
      </c>
      <c r="AN93" s="323" t="s">
        <v>846</v>
      </c>
      <c r="AO93" s="323"/>
      <c r="AP93" s="323"/>
      <c r="AQ93" s="323"/>
      <c r="AR93" s="323" t="s">
        <v>851</v>
      </c>
      <c r="AS93" s="323"/>
      <c r="AT93" s="323"/>
      <c r="AU93" s="323"/>
      <c r="AV93" s="323"/>
      <c r="AW93" s="323"/>
      <c r="AX93" s="323"/>
      <c r="AY93" s="323"/>
      <c r="AZ93" s="323"/>
      <c r="BA93" s="323"/>
      <c r="BB93" s="323"/>
      <c r="BC93" s="323"/>
      <c r="BD93" s="323"/>
      <c r="BE93" s="323"/>
      <c r="BF93" s="323"/>
      <c r="BG93" s="323"/>
      <c r="BH93" s="323"/>
      <c r="BI93" s="323"/>
      <c r="BJ93" s="323"/>
      <c r="BK93" s="323"/>
      <c r="BL93" s="323"/>
      <c r="BM93" s="323"/>
      <c r="BN93" s="323"/>
      <c r="BO93" s="323"/>
      <c r="BP93" s="323"/>
      <c r="BQ93" s="323"/>
      <c r="BR93" s="323"/>
      <c r="BS93" s="323"/>
      <c r="BT93" s="323"/>
      <c r="BU93" s="323"/>
      <c r="BV93" s="323"/>
      <c r="BW93" s="323"/>
      <c r="BX93" s="323"/>
      <c r="BY93" s="323"/>
      <c r="BZ93" s="323"/>
      <c r="CA93" s="323"/>
      <c r="CB93" s="323"/>
      <c r="CC93" s="323"/>
      <c r="CD93" s="323"/>
      <c r="CE93" s="323"/>
      <c r="CF93" s="323"/>
      <c r="CG93" s="323"/>
      <c r="CH93" s="323"/>
      <c r="CI93" s="323"/>
      <c r="CJ93" s="323"/>
      <c r="CK93" s="323"/>
      <c r="CL93" s="323"/>
      <c r="CM93" s="323"/>
      <c r="CN93" s="323"/>
      <c r="CO93" s="323"/>
      <c r="CP93" s="431"/>
      <c r="CQ93" s="433"/>
      <c r="CR93" s="323"/>
      <c r="CS93" s="323"/>
      <c r="CT93" s="323"/>
      <c r="CU93" s="323"/>
      <c r="CV93" s="323"/>
      <c r="CW93" s="323"/>
      <c r="CX93" s="323"/>
      <c r="CY93" s="323"/>
      <c r="CZ93" s="323"/>
      <c r="EK93" s="1070"/>
      <c r="EL93" s="1070"/>
      <c r="EM93" s="1070"/>
      <c r="EN93" s="1070"/>
      <c r="EO93" s="1070"/>
      <c r="EP93" s="1070"/>
      <c r="EQ93" s="1070"/>
    </row>
    <row r="94" spans="2:222" ht="40.4" hidden="1" customHeight="1" outlineLevel="1" x14ac:dyDescent="0.35">
      <c r="B94" s="359" t="s">
        <v>78</v>
      </c>
      <c r="C94" s="195" t="s">
        <v>80</v>
      </c>
      <c r="D94" s="910" t="s">
        <v>4</v>
      </c>
      <c r="E94" s="911"/>
      <c r="F94" s="911"/>
      <c r="G94" s="911"/>
      <c r="H94" s="912"/>
      <c r="I94" s="885" t="s">
        <v>5</v>
      </c>
      <c r="J94" s="886"/>
      <c r="K94" s="886"/>
      <c r="L94" s="886"/>
      <c r="M94" s="887"/>
      <c r="N94" s="877" t="s">
        <v>79</v>
      </c>
      <c r="O94" s="877"/>
      <c r="P94" s="877"/>
      <c r="Q94" s="881"/>
      <c r="R94" s="192"/>
      <c r="S94" s="193"/>
      <c r="T94" s="175"/>
      <c r="V94" s="251"/>
      <c r="W94" s="323"/>
      <c r="X94" s="323"/>
      <c r="Y94" s="323"/>
      <c r="Z94" s="323"/>
      <c r="AA94" s="323"/>
      <c r="AB94" s="323"/>
      <c r="AC94" s="323"/>
      <c r="AD94" s="323"/>
      <c r="AE94" s="323"/>
      <c r="AF94" s="323"/>
      <c r="AG94" s="323"/>
      <c r="AH94" s="323"/>
      <c r="AI94" s="323" t="str">
        <f>'LCA data'!$B$8</f>
        <v>Udvendig beklædning</v>
      </c>
      <c r="AJ94" s="323">
        <f>VLOOKUP(E97,Pris.udvendig.beklædning[],2,0)*C97</f>
        <v>0</v>
      </c>
      <c r="AK94" s="323">
        <f>VLOOKUP(J97,Pris.udvendig.beklædning[],2,0)*C97</f>
        <v>0</v>
      </c>
      <c r="AL94" s="323" t="str">
        <f>IFERROR(AJ94+VLOOKUP(B94&amp;"_"&amp;J94,'LCA data'!$B$7:$X$238,2,FALSE),"")</f>
        <v/>
      </c>
      <c r="AM94" s="323" t="str">
        <f>IFERROR(IF(M94-1&gt;0,VLOOKUP(B94&amp;"_"&amp;J94,'LCA data'!$B$7:$X$200,19,FALSE)*(K94*10^3)*C94,""),"")</f>
        <v/>
      </c>
      <c r="AN94" s="323" t="s">
        <v>4</v>
      </c>
      <c r="AO94" s="323" t="s">
        <v>5</v>
      </c>
      <c r="AP94" s="323"/>
      <c r="AQ94" s="323"/>
      <c r="AR94" s="323" t="s">
        <v>4</v>
      </c>
      <c r="AS94" s="323" t="s">
        <v>5</v>
      </c>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c r="CF94" s="323"/>
      <c r="CG94" s="323"/>
      <c r="CH94" s="323"/>
      <c r="CI94" s="323"/>
      <c r="CJ94" s="323"/>
      <c r="CK94" s="323"/>
      <c r="CL94" s="323"/>
      <c r="CM94" s="323"/>
      <c r="CN94" s="323"/>
      <c r="CO94" s="323"/>
      <c r="CP94" s="431"/>
      <c r="CQ94" s="433"/>
      <c r="CR94" s="323"/>
      <c r="CS94" s="323"/>
      <c r="CT94" s="323"/>
      <c r="CU94" s="323"/>
      <c r="CV94" s="323"/>
      <c r="CW94" s="323"/>
      <c r="CX94" s="323"/>
      <c r="CY94" s="323"/>
      <c r="CZ94" s="323"/>
      <c r="EK94" s="1070"/>
      <c r="EL94" s="1070"/>
      <c r="EM94" s="1070"/>
      <c r="EN94" s="1070"/>
      <c r="EO94" s="1070"/>
      <c r="EP94" s="1070"/>
      <c r="EQ94" s="1070"/>
    </row>
    <row r="95" spans="2:222" ht="40.4" hidden="1" customHeight="1" outlineLevel="1" x14ac:dyDescent="0.35">
      <c r="B95" s="194"/>
      <c r="C95" s="665">
        <v>0</v>
      </c>
      <c r="D95" s="908" t="s">
        <v>797</v>
      </c>
      <c r="E95" s="909"/>
      <c r="F95" s="338" t="s">
        <v>82</v>
      </c>
      <c r="G95" s="338" t="s">
        <v>83</v>
      </c>
      <c r="H95" s="346" t="s">
        <v>84</v>
      </c>
      <c r="I95" s="913" t="s">
        <v>797</v>
      </c>
      <c r="J95" s="914"/>
      <c r="K95" s="479" t="s">
        <v>82</v>
      </c>
      <c r="L95" s="479" t="s">
        <v>83</v>
      </c>
      <c r="M95" s="508" t="s">
        <v>84</v>
      </c>
      <c r="N95" s="195" t="s">
        <v>4</v>
      </c>
      <c r="O95" s="195" t="s">
        <v>85</v>
      </c>
      <c r="P95" s="195" t="s">
        <v>5</v>
      </c>
      <c r="Q95" s="357" t="s">
        <v>86</v>
      </c>
      <c r="R95" s="192"/>
      <c r="S95" s="196"/>
      <c r="V95" s="251"/>
      <c r="W95" s="323" t="s">
        <v>87</v>
      </c>
      <c r="X95" s="323" t="s">
        <v>88</v>
      </c>
      <c r="Y95" s="323" t="s">
        <v>89</v>
      </c>
      <c r="Z95" s="323" t="s">
        <v>90</v>
      </c>
      <c r="AA95" s="323" t="s">
        <v>91</v>
      </c>
      <c r="AB95" s="323"/>
      <c r="AC95" s="323"/>
      <c r="AD95" s="323"/>
      <c r="AE95" s="323" t="s">
        <v>92</v>
      </c>
      <c r="AF95" s="323"/>
      <c r="AG95" s="323"/>
      <c r="AH95" s="323"/>
      <c r="AI95" s="323" t="str">
        <f>'LCA data'!$B$25</f>
        <v>Udvendig konstruktion</v>
      </c>
      <c r="AJ95" s="323">
        <f>VLOOKUP(E98,Pris.udvendig.konstruktion[],2,0)*C98</f>
        <v>0</v>
      </c>
      <c r="AK95" s="323">
        <f>VLOOKUP(J98,Pris.udvendig.konstruktion[],2,0)*C98</f>
        <v>0</v>
      </c>
      <c r="AL95" s="323"/>
      <c r="AM95" s="323"/>
      <c r="AN95" s="323">
        <f>SUM(AN97:AN101)</f>
        <v>0</v>
      </c>
      <c r="AO95" s="323">
        <f>SUM(AO97:AO101)</f>
        <v>0</v>
      </c>
      <c r="AP95" s="323"/>
      <c r="AQ95" s="323"/>
      <c r="AR95" s="323">
        <f>SUM(AR97:AR100)</f>
        <v>0</v>
      </c>
      <c r="AS95" s="323">
        <f>SUM(AS97:AS100)</f>
        <v>0</v>
      </c>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323"/>
      <c r="CE95" s="323"/>
      <c r="CF95" s="323"/>
      <c r="CG95" s="323"/>
      <c r="CH95" s="323"/>
      <c r="CI95" s="323"/>
      <c r="CJ95" s="323"/>
      <c r="CK95" s="323"/>
      <c r="CL95" s="323"/>
      <c r="CM95" s="323"/>
      <c r="CN95" s="323"/>
      <c r="CO95" s="323"/>
      <c r="CP95" s="435"/>
      <c r="CQ95" s="433"/>
      <c r="CR95" s="323"/>
      <c r="CS95" s="323"/>
      <c r="CT95" s="323"/>
      <c r="CU95" s="323"/>
      <c r="CV95" s="323"/>
      <c r="CW95" s="323"/>
      <c r="CX95" s="323"/>
      <c r="CY95" s="323"/>
      <c r="CZ95" s="323"/>
      <c r="EK95" s="1070"/>
      <c r="EL95" s="1070"/>
      <c r="EM95" s="1070"/>
      <c r="EN95" s="1070"/>
      <c r="EO95" s="1070"/>
      <c r="EP95" s="1070"/>
      <c r="EQ95" s="1070"/>
    </row>
    <row r="96" spans="2:222" s="198" customFormat="1" ht="26" hidden="1" customHeight="1" outlineLevel="1" x14ac:dyDescent="0.35">
      <c r="B96" s="199"/>
      <c r="C96" s="200" t="s">
        <v>93</v>
      </c>
      <c r="D96" s="915" t="s">
        <v>811</v>
      </c>
      <c r="E96" s="915"/>
      <c r="F96" s="347" t="s">
        <v>94</v>
      </c>
      <c r="G96" s="348" t="s">
        <v>95</v>
      </c>
      <c r="H96" s="349" t="s">
        <v>96</v>
      </c>
      <c r="I96" s="915" t="s">
        <v>811</v>
      </c>
      <c r="J96" s="915"/>
      <c r="K96" s="510" t="s">
        <v>94</v>
      </c>
      <c r="L96" s="511" t="s">
        <v>95</v>
      </c>
      <c r="M96" s="512" t="s">
        <v>96</v>
      </c>
      <c r="N96" s="201" t="s">
        <v>97</v>
      </c>
      <c r="O96" s="201" t="s">
        <v>97</v>
      </c>
      <c r="P96" s="201" t="s">
        <v>97</v>
      </c>
      <c r="Q96" s="358" t="s">
        <v>97</v>
      </c>
      <c r="R96" s="202"/>
      <c r="S96" s="203"/>
      <c r="T96" s="204"/>
      <c r="U96" s="204"/>
      <c r="V96" s="325"/>
      <c r="W96" s="323">
        <f>SUM(W97:W101)</f>
        <v>0</v>
      </c>
      <c r="X96" s="323">
        <f>SUM(X97:X101)</f>
        <v>0</v>
      </c>
      <c r="Y96" s="323"/>
      <c r="Z96" s="323"/>
      <c r="AA96" s="323"/>
      <c r="AB96" s="323" t="s">
        <v>111</v>
      </c>
      <c r="AC96" s="323" t="s">
        <v>98</v>
      </c>
      <c r="AD96" s="323" t="s">
        <v>99</v>
      </c>
      <c r="AE96" s="323" t="s">
        <v>100</v>
      </c>
      <c r="AF96" s="323"/>
      <c r="AG96" s="323"/>
      <c r="AH96" s="323"/>
      <c r="AI96" s="323" t="str">
        <f>'LCA data'!$B$32</f>
        <v>Isolering</v>
      </c>
      <c r="AJ96" s="323">
        <f>VLOOKUP(E99,Pris.isolering[],2,0)*F99*C99</f>
        <v>0</v>
      </c>
      <c r="AK96" s="323">
        <f>VLOOKUP(J99,Pris.isolering[],2,0)*K99*C99</f>
        <v>0</v>
      </c>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c r="BN96" s="323"/>
      <c r="BO96" s="323"/>
      <c r="BP96" s="323"/>
      <c r="BQ96" s="323"/>
      <c r="BR96" s="323"/>
      <c r="BS96" s="323"/>
      <c r="BT96" s="323"/>
      <c r="BU96" s="323"/>
      <c r="BV96" s="323"/>
      <c r="BW96" s="323"/>
      <c r="BX96" s="323"/>
      <c r="BY96" s="323"/>
      <c r="BZ96" s="323"/>
      <c r="CA96" s="323"/>
      <c r="CB96" s="323"/>
      <c r="CC96" s="323"/>
      <c r="CD96" s="323"/>
      <c r="CE96" s="323"/>
      <c r="CF96" s="323"/>
      <c r="CG96" s="323"/>
      <c r="CH96" s="323"/>
      <c r="CI96" s="323"/>
      <c r="CJ96" s="323"/>
      <c r="CK96" s="323"/>
      <c r="CL96" s="323"/>
      <c r="CM96" s="323"/>
      <c r="CN96" s="323"/>
      <c r="CO96" s="323"/>
      <c r="CP96" s="436"/>
      <c r="CQ96" s="433"/>
      <c r="CR96" s="323"/>
      <c r="CS96" s="323"/>
      <c r="CT96" s="323"/>
      <c r="CU96" s="323"/>
      <c r="CV96" s="323"/>
      <c r="CW96" s="323"/>
      <c r="CX96" s="323"/>
      <c r="CY96" s="323"/>
      <c r="CZ96" s="323"/>
      <c r="DA96" s="325"/>
      <c r="DB96" s="325"/>
      <c r="DC96" s="325"/>
      <c r="DD96" s="325"/>
      <c r="DE96" s="325"/>
      <c r="DF96" s="325"/>
      <c r="DG96" s="325"/>
      <c r="DH96" s="325"/>
      <c r="DI96" s="325"/>
      <c r="DJ96" s="325"/>
      <c r="DK96" s="325"/>
      <c r="DL96" s="325"/>
      <c r="DM96" s="325"/>
      <c r="DN96" s="325"/>
      <c r="DO96" s="325"/>
      <c r="DP96" s="325"/>
      <c r="DQ96" s="325"/>
      <c r="DR96" s="325"/>
      <c r="DS96" s="325"/>
      <c r="DT96" s="325"/>
      <c r="DU96" s="325"/>
      <c r="DV96" s="325"/>
      <c r="DW96" s="325"/>
      <c r="DX96" s="325"/>
      <c r="DY96" s="325"/>
      <c r="DZ96" s="325"/>
      <c r="EA96" s="325"/>
      <c r="EB96" s="325"/>
      <c r="EC96" s="325"/>
      <c r="ED96" s="325"/>
      <c r="EE96" s="325"/>
      <c r="EF96" s="325"/>
      <c r="EG96" s="325"/>
      <c r="EH96" s="325"/>
      <c r="EI96" s="325"/>
      <c r="EJ96" s="325"/>
      <c r="EK96" s="1072"/>
      <c r="EL96" s="1072"/>
      <c r="EM96" s="1072"/>
      <c r="EN96" s="1072"/>
      <c r="EO96" s="1072"/>
      <c r="EP96" s="1072"/>
      <c r="EQ96" s="1072"/>
      <c r="ER96" s="325"/>
      <c r="ES96" s="325"/>
      <c r="ET96" s="325"/>
      <c r="EU96" s="325"/>
      <c r="EV96" s="325"/>
      <c r="EW96" s="325"/>
      <c r="EX96" s="325"/>
      <c r="EY96" s="325"/>
      <c r="EZ96" s="325"/>
      <c r="FA96" s="325"/>
      <c r="FB96" s="325"/>
      <c r="FC96" s="325"/>
      <c r="FD96" s="325"/>
      <c r="FE96" s="325"/>
      <c r="FF96" s="325"/>
      <c r="FG96" s="325"/>
      <c r="FH96" s="325"/>
      <c r="FI96" s="325"/>
      <c r="FJ96" s="325"/>
      <c r="FK96" s="325"/>
      <c r="FL96" s="325"/>
      <c r="FM96" s="325"/>
      <c r="FN96" s="325"/>
      <c r="FO96" s="325"/>
      <c r="FP96" s="325"/>
      <c r="FQ96" s="325"/>
      <c r="FR96" s="325"/>
      <c r="FS96" s="325"/>
      <c r="FT96" s="325"/>
      <c r="FU96" s="325"/>
      <c r="FV96" s="325"/>
      <c r="FW96" s="325"/>
      <c r="FX96" s="325"/>
      <c r="FY96" s="325"/>
      <c r="FZ96" s="325"/>
      <c r="GA96" s="325"/>
      <c r="GB96" s="325"/>
      <c r="GC96" s="325"/>
      <c r="GD96" s="325"/>
      <c r="GE96" s="325"/>
      <c r="GF96" s="325"/>
      <c r="GG96" s="325"/>
      <c r="GH96" s="325"/>
      <c r="GI96" s="325"/>
      <c r="GJ96" s="325"/>
      <c r="GK96" s="325"/>
      <c r="GL96" s="325"/>
      <c r="GM96" s="325"/>
      <c r="GN96" s="325"/>
      <c r="GO96" s="325"/>
      <c r="GP96" s="325"/>
      <c r="GQ96" s="325"/>
      <c r="GR96" s="325"/>
      <c r="GS96" s="325"/>
      <c r="GT96" s="325"/>
      <c r="GU96" s="325"/>
      <c r="GV96" s="325"/>
      <c r="GW96" s="325"/>
      <c r="GX96" s="325"/>
      <c r="GY96" s="325"/>
      <c r="GZ96" s="325"/>
      <c r="HA96" s="325"/>
      <c r="HB96" s="325"/>
      <c r="HC96" s="325"/>
      <c r="HD96" s="325"/>
      <c r="HE96" s="325"/>
      <c r="HF96" s="325"/>
      <c r="HG96" s="325"/>
      <c r="HH96" s="325"/>
      <c r="HI96" s="325"/>
      <c r="HJ96" s="325"/>
      <c r="HK96" s="325"/>
      <c r="HL96" s="325"/>
      <c r="HM96" s="325"/>
      <c r="HN96" s="325"/>
    </row>
    <row r="97" spans="2:222" ht="40.4" hidden="1" customHeight="1" outlineLevel="1" thickBot="1" x14ac:dyDescent="0.4">
      <c r="B97" s="205" t="str">
        <f>'LCA data'!$B$8</f>
        <v>Udvendig beklædning</v>
      </c>
      <c r="C97" s="465">
        <f>$C$95*$C$42</f>
        <v>0</v>
      </c>
      <c r="D97" s="15" t="s">
        <v>103</v>
      </c>
      <c r="E97" s="342" t="str">
        <f>IF(D$96=$D$82,D97,VLOOKUP(B97,Auto_Ydervæg[],VLOOKUP(D$96,Type_Tung_Middel_Let[],2,0),0))</f>
        <v>Angiv ikke</v>
      </c>
      <c r="F97" s="356">
        <f>(VLOOKUP(E97,Pris.udvendig.beklædning[],4,0))/1000</f>
        <v>0</v>
      </c>
      <c r="G97" s="350"/>
      <c r="H97" s="351" t="str">
        <f>IFERROR(IF(VLOOKUP(B97&amp;"_"&amp;E97,'LCA data'!$B$7:$X$200,2,FALSE)&lt;$Y$24,1,0)+IF(VLOOKUP(B97&amp;"_"&amp;E97,'LCA data'!$B$7:$X$200,2,FALSE)*2&lt;$Y$24,1,0),"")</f>
        <v/>
      </c>
      <c r="I97" s="15" t="s">
        <v>103</v>
      </c>
      <c r="J97" s="342" t="str">
        <f>IF($I$96=$D$82,I97,VLOOKUP(B97,Auto_Ydervæg[],VLOOKUP(I$96,Type_Tung_Middel_Let[],2,0),0))</f>
        <v>Angiv ikke</v>
      </c>
      <c r="K97" s="513">
        <f>(VLOOKUP(J97,Pris.udvendig.beklædning[],4,0))/1000</f>
        <v>0</v>
      </c>
      <c r="L97" s="514"/>
      <c r="M97" s="515" t="str">
        <f>IFERROR(IF(VLOOKUP(B97&amp;"_"&amp;J97,'LCA data'!$B$7:$X$200,2,FALSE)&lt;$Y$24,1,0)+IF(VLOOKUP(B97&amp;"_"&amp;J97,'LCA data'!$B$7:$X$200,2,FALSE)*2&lt;$Y$24,1,0),"")</f>
        <v/>
      </c>
      <c r="N97" s="206">
        <f>W97/1000</f>
        <v>0</v>
      </c>
      <c r="O97" s="878">
        <f>SUM(N97:N101)</f>
        <v>0</v>
      </c>
      <c r="P97" s="207">
        <f>X97/1000</f>
        <v>0</v>
      </c>
      <c r="Q97" s="888">
        <f>SUM(P97:P101)</f>
        <v>0</v>
      </c>
      <c r="R97" s="192"/>
      <c r="S97" s="196"/>
      <c r="V97" s="251"/>
      <c r="W97" s="323">
        <f>IF(E97="Angiv ikke",0,((1+H97)*VLOOKUP(B97&amp;"_"&amp;E97,'LCA data'!$B$7:$X$360,19,FALSE)*(F97*10^3)*C97))</f>
        <v>0</v>
      </c>
      <c r="X97" s="323">
        <f>IF(J97="Angiv ikke",0,((1+M97)*VLOOKUP(B97&amp;"_"&amp;J97,'LCA data'!$B$7:$X$360,19,FALSE)*(K97*10^3)*C97))</f>
        <v>0</v>
      </c>
      <c r="Y97" s="323"/>
      <c r="Z97" s="323"/>
      <c r="AA97" s="323" t="s">
        <v>4</v>
      </c>
      <c r="AB97" s="323">
        <f>AF97/$J$21/$Y$24*1000</f>
        <v>0</v>
      </c>
      <c r="AC97" s="323">
        <f>Varmetab!H69</f>
        <v>0</v>
      </c>
      <c r="AD97" s="323">
        <f>AB97+AC97</f>
        <v>0</v>
      </c>
      <c r="AE97" s="323" t="s">
        <v>4</v>
      </c>
      <c r="AF97" s="323">
        <f>W96/1000</f>
        <v>0</v>
      </c>
      <c r="AG97" s="323"/>
      <c r="AH97" s="323"/>
      <c r="AI97" s="323" t="str">
        <f>'LCA data'!$B$52</f>
        <v>Indvendig konstruktion</v>
      </c>
      <c r="AJ97" s="323">
        <f>VLOOKUP(E100,Pris.indvendig.konstruktion[],2,0)*F100*C100</f>
        <v>0</v>
      </c>
      <c r="AK97" s="323">
        <f>VLOOKUP(J100,Pris.indvendig.konstruktion[],2,0)*K100*C100</f>
        <v>0</v>
      </c>
      <c r="AL97" s="323"/>
      <c r="AM97" s="323"/>
      <c r="AN97" s="323">
        <f>IF(E97="Angiv ikke",0,((1+H97)*VLOOKUP(B97&amp;"_"&amp;E97,'LCA data'!$B$7:$X$360,20,FALSE)*(F97*10^3)*C97))</f>
        <v>0</v>
      </c>
      <c r="AO97" s="323">
        <f>IF(J97="Angiv ikke",0,((1+M97)*VLOOKUP(B97&amp;"_"&amp;J97,'LCA data'!$B$7:$X$360,20,FALSE)*(K97*10^3)*C97))</f>
        <v>0</v>
      </c>
      <c r="AP97" s="323"/>
      <c r="AQ97" s="323"/>
      <c r="AR97" s="323">
        <f>IF(E97="Angiv ikke",0,((1+H97)*VLOOKUP(B97&amp;"_"&amp;E97,'LCA data'!$B$7:$AA$360,26,FALSE)*(F97*10^3)*C97))</f>
        <v>0</v>
      </c>
      <c r="AS97" s="323">
        <f>IF(J97="Angiv ikke",0,((1+M97)*VLOOKUP(B97&amp;"_"&amp;J97,'LCA data'!$B$7:$AA$360,26,FALSE)*(K97*10^3)*C97))</f>
        <v>0</v>
      </c>
      <c r="AT97" s="323"/>
      <c r="AU97" s="323"/>
      <c r="AV97" s="323"/>
      <c r="AW97" s="323"/>
      <c r="AX97" s="323"/>
      <c r="AY97" s="323"/>
      <c r="AZ97" s="323"/>
      <c r="BA97" s="323"/>
      <c r="BB97" s="323"/>
      <c r="BC97" s="323"/>
      <c r="BD97" s="323"/>
      <c r="BE97" s="323"/>
      <c r="BF97" s="323"/>
      <c r="BG97" s="323"/>
      <c r="BH97" s="323"/>
      <c r="BI97" s="323"/>
      <c r="BJ97" s="323"/>
      <c r="BK97" s="323"/>
      <c r="BL97" s="323"/>
      <c r="BM97" s="323"/>
      <c r="BN97" s="323"/>
      <c r="BO97" s="323"/>
      <c r="BP97" s="323"/>
      <c r="BQ97" s="323"/>
      <c r="BR97" s="323"/>
      <c r="BS97" s="323"/>
      <c r="BT97" s="323"/>
      <c r="BU97" s="323"/>
      <c r="BV97" s="323"/>
      <c r="BW97" s="323"/>
      <c r="BX97" s="323"/>
      <c r="BY97" s="323"/>
      <c r="BZ97" s="323"/>
      <c r="CA97" s="323"/>
      <c r="CB97" s="323"/>
      <c r="CC97" s="323"/>
      <c r="CD97" s="323"/>
      <c r="CE97" s="323"/>
      <c r="CF97" s="323"/>
      <c r="CG97" s="323"/>
      <c r="CH97" s="323"/>
      <c r="CI97" s="323"/>
      <c r="CJ97" s="323"/>
      <c r="CK97" s="323"/>
      <c r="CL97" s="323"/>
      <c r="CM97" s="323"/>
      <c r="CN97" s="323"/>
      <c r="CO97" s="323"/>
      <c r="CP97" s="437"/>
      <c r="CQ97" s="438"/>
      <c r="CR97" s="323"/>
      <c r="CS97" s="323"/>
      <c r="CT97" s="323"/>
      <c r="CU97" s="323"/>
      <c r="CV97" s="323"/>
      <c r="CW97" s="323"/>
      <c r="CX97" s="323"/>
      <c r="CY97" s="323"/>
      <c r="CZ97" s="323"/>
      <c r="EK97" s="1070"/>
      <c r="EL97" s="1070"/>
      <c r="EM97" s="1070"/>
      <c r="EN97" s="1070"/>
      <c r="EO97" s="1070"/>
      <c r="EP97" s="1070"/>
      <c r="EQ97" s="1070"/>
    </row>
    <row r="98" spans="2:222" ht="40.4" hidden="1" customHeight="1" outlineLevel="1" x14ac:dyDescent="0.35">
      <c r="B98" s="205" t="str">
        <f>'LCA data'!$B$25</f>
        <v>Udvendig konstruktion</v>
      </c>
      <c r="C98" s="465">
        <f t="shared" ref="C98:C101" si="9">$C$95*$C$42</f>
        <v>0</v>
      </c>
      <c r="D98" s="168" t="s">
        <v>103</v>
      </c>
      <c r="E98" s="342" t="str">
        <f>IF(D$96=$D$82,D98,VLOOKUP(B98,Auto_Ydervæg[],VLOOKUP(D$96,Type_Tung_Middel_Let[],2,0),0))</f>
        <v>Angiv ikke</v>
      </c>
      <c r="F98" s="356"/>
      <c r="G98" s="353"/>
      <c r="H98" s="351" t="str">
        <f>IFERROR(IF(VLOOKUP(B98&amp;"_"&amp;E98,'LCA data'!$B$7:$X$200,2,FALSE)&lt;$Y$24,1,0)+IF(VLOOKUP(B98&amp;"_"&amp;E98,'LCA data'!$B$7:$X$200,2,FALSE)*2&lt;$Y$24,1,0),"")</f>
        <v/>
      </c>
      <c r="I98" s="168" t="s">
        <v>103</v>
      </c>
      <c r="J98" s="342" t="str">
        <f>IF($I$96=$D$82,I98,VLOOKUP(B98,Auto_Ydervæg[],VLOOKUP(I$96,Type_Tung_Middel_Let[],2,0),0))</f>
        <v>Angiv ikke</v>
      </c>
      <c r="K98" s="513"/>
      <c r="L98" s="514"/>
      <c r="M98" s="515" t="str">
        <f>IFERROR(IF(VLOOKUP(B98&amp;"_"&amp;J98,'LCA data'!$B$7:$X$200,2,FALSE)&lt;$Y$24,1,0)+IF(VLOOKUP(B98&amp;"_"&amp;J98,'LCA data'!$B$7:$X$200,2,FALSE)*2&lt;$Y$24,1,0),"")</f>
        <v/>
      </c>
      <c r="N98" s="206">
        <f>W98/1000</f>
        <v>0</v>
      </c>
      <c r="O98" s="878"/>
      <c r="P98" s="207">
        <f>X98/1000</f>
        <v>0</v>
      </c>
      <c r="Q98" s="889"/>
      <c r="R98" s="192"/>
      <c r="S98" s="196"/>
      <c r="V98" s="251"/>
      <c r="W98" s="323">
        <f>IF(E98="Angiv ikke",0,((1+H98)*VLOOKUP(B98&amp;"_"&amp;E98,'LCA data'!$B$7:$X$360,19,FALSE)*C98))</f>
        <v>0</v>
      </c>
      <c r="X98" s="323">
        <f>IF(J98="Angiv ikke",0,((1+M98)*VLOOKUP(B98&amp;"_"&amp;J98,'LCA data'!$B$7:$X$360,19,FALSE)*C98))</f>
        <v>0</v>
      </c>
      <c r="Y98" s="323"/>
      <c r="Z98" s="323"/>
      <c r="AA98" s="323" t="s">
        <v>5</v>
      </c>
      <c r="AB98" s="323">
        <f>AG98/$J$21/$Y$24*1000</f>
        <v>0</v>
      </c>
      <c r="AC98" s="323">
        <f>Varmetab!I69</f>
        <v>0</v>
      </c>
      <c r="AD98" s="323">
        <f>AB98+AC98</f>
        <v>0</v>
      </c>
      <c r="AE98" s="323" t="s">
        <v>5</v>
      </c>
      <c r="AF98" s="323"/>
      <c r="AG98" s="323">
        <f>X96/1000</f>
        <v>0</v>
      </c>
      <c r="AH98" s="323"/>
      <c r="AI98" s="323" t="str">
        <f>'LCA data'!$B$65</f>
        <v>Indvendig beklædning</v>
      </c>
      <c r="AJ98" s="323">
        <f>VLOOKUP(E101,Pris.indvendig.beklædning[],2,0)*C101</f>
        <v>0</v>
      </c>
      <c r="AK98" s="323">
        <f>VLOOKUP(J101,Pris.indvendig.beklædning[],2,0)*C101</f>
        <v>0</v>
      </c>
      <c r="AL98" s="323"/>
      <c r="AM98" s="323"/>
      <c r="AN98" s="323">
        <f>IF(E98="Angiv ikke",0,((1+H98)*VLOOKUP(B98&amp;"_"&amp;E98,'LCA data'!$B$7:$X$360,20,FALSE)*(F98*10^3)*C98))</f>
        <v>0</v>
      </c>
      <c r="AO98" s="323">
        <f>IF(J98="Angiv ikke",0,((1+M98)*VLOOKUP(B98&amp;"_"&amp;J98,'LCA data'!$B$7:$X$360,20,FALSE)*(K98*10^3)*C98))</f>
        <v>0</v>
      </c>
      <c r="AP98" s="323"/>
      <c r="AQ98" s="323"/>
      <c r="AR98" s="323">
        <f>IF(E98="Angiv ikke",0,((1+H98)*VLOOKUP(B98&amp;"_"&amp;E98,'LCA data'!$B$7:$AA$360,26,FALSE)*(F98*10^3)*C98))</f>
        <v>0</v>
      </c>
      <c r="AS98" s="323">
        <f>IF(J98="Angiv ikke",0,((1+M98)*VLOOKUP(B98&amp;"_"&amp;J98,'LCA data'!$B$7:$AA$360,26,FALSE)*(K98*10^3)*C98))</f>
        <v>0</v>
      </c>
      <c r="AT98" s="323"/>
      <c r="AU98" s="323"/>
      <c r="AV98" s="323"/>
      <c r="AW98" s="323"/>
      <c r="AX98" s="323"/>
      <c r="AY98" s="323"/>
      <c r="AZ98" s="323"/>
      <c r="BA98" s="323"/>
      <c r="BB98" s="323"/>
      <c r="BC98" s="323"/>
      <c r="BD98" s="323"/>
      <c r="BE98" s="323"/>
      <c r="BF98" s="323"/>
      <c r="BG98" s="323"/>
      <c r="BH98" s="323"/>
      <c r="BI98" s="323"/>
      <c r="BJ98" s="323"/>
      <c r="BK98" s="323"/>
      <c r="BL98" s="323"/>
      <c r="BM98" s="323"/>
      <c r="BN98" s="323"/>
      <c r="BO98" s="323"/>
      <c r="BP98" s="323"/>
      <c r="BQ98" s="323"/>
      <c r="BR98" s="323"/>
      <c r="BS98" s="323"/>
      <c r="BT98" s="323"/>
      <c r="BU98" s="323"/>
      <c r="BV98" s="323"/>
      <c r="BW98" s="323"/>
      <c r="BX98" s="323"/>
      <c r="BY98" s="323"/>
      <c r="BZ98" s="323"/>
      <c r="CA98" s="323"/>
      <c r="CB98" s="323"/>
      <c r="CC98" s="323"/>
      <c r="CD98" s="323"/>
      <c r="CE98" s="323"/>
      <c r="CF98" s="323"/>
      <c r="CG98" s="323"/>
      <c r="CH98" s="323"/>
      <c r="CI98" s="323"/>
      <c r="CJ98" s="323"/>
      <c r="CK98" s="323"/>
      <c r="CL98" s="323"/>
      <c r="CM98" s="323"/>
      <c r="CN98" s="323"/>
      <c r="CO98" s="323"/>
      <c r="CP98" s="439"/>
      <c r="CQ98" s="440"/>
      <c r="CR98" s="323"/>
      <c r="CS98" s="323"/>
      <c r="CT98" s="323"/>
      <c r="CU98" s="323"/>
      <c r="CV98" s="323"/>
      <c r="CW98" s="323"/>
      <c r="CX98" s="323"/>
      <c r="CY98" s="323"/>
      <c r="CZ98" s="323"/>
      <c r="EK98" s="1070"/>
      <c r="EL98" s="1070"/>
      <c r="EM98" s="1070"/>
      <c r="EN98" s="1070"/>
      <c r="EO98" s="1070"/>
      <c r="EP98" s="1070"/>
      <c r="EQ98" s="1070"/>
    </row>
    <row r="99" spans="2:222" ht="40.4" hidden="1" customHeight="1" outlineLevel="1" thickBot="1" x14ac:dyDescent="0.4">
      <c r="B99" s="208" t="str">
        <f>'LCA data'!$B$32</f>
        <v>Isolering</v>
      </c>
      <c r="C99" s="465">
        <f t="shared" si="9"/>
        <v>0</v>
      </c>
      <c r="D99" s="169" t="s">
        <v>103</v>
      </c>
      <c r="E99" s="342" t="str">
        <f>IF(D96=$D$82,D99,VLOOKUP(B99,Auto_Ydervæg[],VLOOKUP(D96,Type_Tung_Middel_Let[],2,0),0))</f>
        <v>Angiv ikke</v>
      </c>
      <c r="F99" s="172">
        <v>0.3</v>
      </c>
      <c r="G99" s="478" t="str">
        <f>VLOOKUP(E99,Isoleringsmateriale[],2,0)</f>
        <v>?</v>
      </c>
      <c r="H99" s="351" t="str">
        <f>IFERROR(IF(VLOOKUP(B99&amp;"_"&amp;E99,'LCA data'!$B$7:$X$200,2,FALSE)&lt;$Y$24,1,0)+IF(VLOOKUP(B99&amp;"_"&amp;E99,'LCA data'!$B$7:$X$200,2,FALSE)*2&lt;$Y$24,1,0),"")</f>
        <v/>
      </c>
      <c r="I99" s="169" t="s">
        <v>103</v>
      </c>
      <c r="J99" s="342" t="str">
        <f>IF($I$96=$D$82,I99,VLOOKUP(B99,Auto_Ydervæg[],VLOOKUP(I$96,Type_Tung_Middel_Let[],2,0),0))</f>
        <v>Angiv ikke</v>
      </c>
      <c r="K99" s="172">
        <v>0.3</v>
      </c>
      <c r="L99" s="478" t="str">
        <f>VLOOKUP(J99,Isoleringsmateriale[],2,0)</f>
        <v>?</v>
      </c>
      <c r="M99" s="515" t="str">
        <f>IFERROR(IF(VLOOKUP(B99&amp;"_"&amp;J99,'LCA data'!$B$7:$X$200,2,FALSE)&lt;$Y$24,1,0)+IF(VLOOKUP(B99&amp;"_"&amp;J99,'LCA data'!$B$7:$X$200,2,FALSE)*2&lt;$Y$24,1,0),"")</f>
        <v/>
      </c>
      <c r="N99" s="206">
        <f>IFERROR(W99/1000,0)</f>
        <v>0</v>
      </c>
      <c r="O99" s="878"/>
      <c r="P99" s="207">
        <f>IFERROR(X99/1000,0)</f>
        <v>0</v>
      </c>
      <c r="Q99" s="889"/>
      <c r="R99" s="192"/>
      <c r="S99" s="196"/>
      <c r="V99" s="251"/>
      <c r="W99" s="323">
        <f>IFERROR(IF(E99="Angiv ikke",0,((1+H99)*VLOOKUP(B99&amp;"_"&amp;E99,'LCA data'!$B$7:$X$360,19,FALSE)*(F99*10^3)*C99)),"0")</f>
        <v>0</v>
      </c>
      <c r="X99" s="323">
        <f>IFERROR(IF(J99="Angiv ikke",0,((1+M99)*VLOOKUP(B99&amp;"_"&amp;J99,'LCA data'!$B$7:$X$360,19,FALSE)*(K99*10^3)*C99)),"0")</f>
        <v>0</v>
      </c>
      <c r="Y99" s="323">
        <f>IF(G99="_",0,Varmetab!H69*$J$21*$Y$24)</f>
        <v>0</v>
      </c>
      <c r="Z99" s="323">
        <f>IF(L99="_",0,Varmetab!I69*$J$21*$Y$24)</f>
        <v>0</v>
      </c>
      <c r="AA99" s="323"/>
      <c r="AB99" s="323"/>
      <c r="AC99" s="323"/>
      <c r="AD99" s="323"/>
      <c r="AE99" s="323"/>
      <c r="AF99" s="323"/>
      <c r="AG99" s="323"/>
      <c r="AH99" s="323"/>
      <c r="AI99" s="323" t="s">
        <v>743</v>
      </c>
      <c r="AJ99" s="323">
        <f>SUM(AJ94:AJ98)</f>
        <v>0</v>
      </c>
      <c r="AK99" s="323">
        <f>SUM(AK94:AK98)</f>
        <v>0</v>
      </c>
      <c r="AL99" s="323"/>
      <c r="AM99" s="323"/>
      <c r="AN99" s="323">
        <f>IF(E99="Angiv ikke",0,((1+H99)*VLOOKUP(B99&amp;"_"&amp;E99,'LCA data'!$B$7:$X$360,20,FALSE)*(F99*10^3)*C99))</f>
        <v>0</v>
      </c>
      <c r="AO99" s="323">
        <f>IF(J99="Angiv ikke",0,((1+M99)*VLOOKUP(B99&amp;"_"&amp;J99,'LCA data'!$B$7:$X$360,20,FALSE)*(K99*10^3)*C99))</f>
        <v>0</v>
      </c>
      <c r="AP99" s="323"/>
      <c r="AQ99" s="323"/>
      <c r="AR99" s="323">
        <f>IF(E99="Angiv ikke",0,((1+H99)*VLOOKUP(B99&amp;"_"&amp;E99,'LCA data'!$B$7:$AA$360,26,FALSE)*(F99*10^3)*C99))</f>
        <v>0</v>
      </c>
      <c r="AS99" s="323">
        <f>IF(J99="Angiv ikke",0,((1+M99)*VLOOKUP(B99&amp;"_"&amp;J99,'LCA data'!$B$7:$AA$360,26,FALSE)*(K99*10^3)*C99))</f>
        <v>0</v>
      </c>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A99" s="323"/>
      <c r="CB99" s="323"/>
      <c r="CC99" s="323"/>
      <c r="CD99" s="323"/>
      <c r="CE99" s="323"/>
      <c r="CF99" s="323"/>
      <c r="CG99" s="323"/>
      <c r="CH99" s="323"/>
      <c r="CI99" s="323"/>
      <c r="CJ99" s="323"/>
      <c r="CK99" s="323"/>
      <c r="CL99" s="323"/>
      <c r="CM99" s="323"/>
      <c r="CN99" s="323"/>
      <c r="CO99" s="323"/>
      <c r="CP99" s="428"/>
      <c r="CQ99" s="441"/>
      <c r="CR99" s="323"/>
      <c r="CS99" s="323"/>
      <c r="CT99" s="323"/>
      <c r="CU99" s="323"/>
      <c r="CV99" s="323"/>
      <c r="CW99" s="323"/>
      <c r="CX99" s="323"/>
      <c r="CY99" s="323"/>
      <c r="CZ99" s="323"/>
      <c r="EK99" s="1070"/>
      <c r="EL99" s="1070"/>
      <c r="EM99" s="1070"/>
      <c r="EN99" s="1070"/>
      <c r="EO99" s="1070"/>
      <c r="EP99" s="1070"/>
      <c r="EQ99" s="1070"/>
    </row>
    <row r="100" spans="2:222" ht="40.4" hidden="1" customHeight="1" outlineLevel="1" x14ac:dyDescent="0.35">
      <c r="B100" s="205" t="str">
        <f>'LCA data'!$B$52</f>
        <v>Indvendig konstruktion</v>
      </c>
      <c r="C100" s="465">
        <f t="shared" si="9"/>
        <v>0</v>
      </c>
      <c r="D100" s="16" t="s">
        <v>103</v>
      </c>
      <c r="E100" s="342" t="str">
        <f>IF(D96=$D$82,D100,VLOOKUP(B100,Auto_Ydervæg[],VLOOKUP(D96,Type_Tung_Middel_Let[],2,0),0))</f>
        <v>Angiv ikke</v>
      </c>
      <c r="F100" s="299">
        <f>IF(OR(E100="Stålskelet",E100="Træskelet"),F99,(VLOOKUP(E100,Pris.indvendig.konstruktion[],4,0)/1000))</f>
        <v>0</v>
      </c>
      <c r="G100" s="350"/>
      <c r="H100" s="351" t="str">
        <f>IFERROR(IF(VLOOKUP(B100&amp;"_"&amp;E100,'LCA data'!$B$7:$X$200,2,FALSE)&lt;$Y$24,1,0)+IF(VLOOKUP(B100&amp;"_"&amp;E100,'LCA data'!$B$7:$X$200,2,FALSE)*2&lt;$Y$24,1,0),"")</f>
        <v/>
      </c>
      <c r="I100" s="16" t="s">
        <v>103</v>
      </c>
      <c r="J100" s="342" t="str">
        <f>IF($I$96=$D$82,I100,VLOOKUP(B100,Auto_Ydervæg[],VLOOKUP(I$96,Type_Tung_Middel_Let[],2,0),0))</f>
        <v>Angiv ikke</v>
      </c>
      <c r="K100" s="299">
        <f>IF(OR(J100="Stålskelet",J100="Træskelet"),K99,(VLOOKUP(J100,Pris.indvendig.konstruktion[],4,0)/1000))</f>
        <v>0</v>
      </c>
      <c r="L100" s="514"/>
      <c r="M100" s="515" t="str">
        <f>IFERROR(IF(VLOOKUP(B100&amp;"_"&amp;J100,'LCA data'!$B$7:$X$200,2,FALSE)&lt;$Y$24,1,0)+IF(VLOOKUP(B100&amp;"_"&amp;J100,'LCA data'!$B$7:$X$200,2,FALSE)*2&lt;$Y$24,1,0),"")</f>
        <v/>
      </c>
      <c r="N100" s="206">
        <f>W100/1000</f>
        <v>0</v>
      </c>
      <c r="O100" s="878"/>
      <c r="P100" s="207">
        <f>X100/1000</f>
        <v>0</v>
      </c>
      <c r="Q100" s="889"/>
      <c r="R100" s="192"/>
      <c r="S100" s="196"/>
      <c r="V100" s="251"/>
      <c r="W100" s="323">
        <f>IF(E100="Angiv ikke",0,((1+H100)*VLOOKUP(B100&amp;"_"&amp;E100,'LCA data'!$B$7:$X$360,19,FALSE)*(F100*10^3)*C100))</f>
        <v>0</v>
      </c>
      <c r="X100" s="323">
        <f>IF(J100="Angiv ikke",0,((1+M100)*VLOOKUP(B100&amp;"_"&amp;J100,'LCA data'!$B$7:$X$360,19,FALSE)*(K100*10^3)*C100))</f>
        <v>0</v>
      </c>
      <c r="Y100" s="323"/>
      <c r="Z100" s="323"/>
      <c r="AA100" s="323"/>
      <c r="AB100" s="323"/>
      <c r="AC100" s="323"/>
      <c r="AD100" s="323"/>
      <c r="AE100" s="323"/>
      <c r="AF100" s="323"/>
      <c r="AG100" s="323"/>
      <c r="AH100" s="323"/>
      <c r="AI100" s="323"/>
      <c r="AJ100" s="323"/>
      <c r="AK100" s="323"/>
      <c r="AL100" s="323"/>
      <c r="AM100" s="323"/>
      <c r="AN100" s="323">
        <f>IF(E100="Angiv ikke",0,((1+H100)*VLOOKUP(B100&amp;"_"&amp;E100,'LCA data'!$B$7:$X$360,20,FALSE)*(F100*10^3)*C100))</f>
        <v>0</v>
      </c>
      <c r="AO100" s="323">
        <f>IF(J100="Angiv ikke",0,((1+M100)*VLOOKUP(B100&amp;"_"&amp;J100,'LCA data'!$B$7:$X$360,20,FALSE)*(K100*10^3)*C100))</f>
        <v>0</v>
      </c>
      <c r="AP100" s="323"/>
      <c r="AQ100" s="323"/>
      <c r="AR100" s="323">
        <f>IF(E100="Angiv ikke",0,((1+H100)*VLOOKUP(B100&amp;"_"&amp;E100,'LCA data'!$B$7:$AA$360,26,FALSE)*(F100*10^3)*C100))</f>
        <v>0</v>
      </c>
      <c r="AS100" s="323">
        <f>IF(J100="Angiv ikke",0,((1+M100)*VLOOKUP(B100&amp;"_"&amp;J100,'LCA data'!$B$7:$AA$360,26,FALSE)*(K100*10^3)*C100))</f>
        <v>0</v>
      </c>
      <c r="AT100" s="323"/>
      <c r="AU100" s="323"/>
      <c r="AV100" s="323"/>
      <c r="AW100" s="323"/>
      <c r="AX100" s="323"/>
      <c r="AY100" s="323"/>
      <c r="AZ100" s="323"/>
      <c r="BA100" s="323"/>
      <c r="BB100" s="323"/>
      <c r="BC100" s="323"/>
      <c r="BD100" s="323"/>
      <c r="BE100" s="323"/>
      <c r="BF100" s="323"/>
      <c r="BG100" s="323"/>
      <c r="BH100" s="323"/>
      <c r="BI100" s="323"/>
      <c r="BJ100" s="323"/>
      <c r="BK100" s="323"/>
      <c r="BL100" s="323"/>
      <c r="BM100" s="323"/>
      <c r="BN100" s="323"/>
      <c r="BO100" s="323"/>
      <c r="BP100" s="323"/>
      <c r="BQ100" s="323"/>
      <c r="BR100" s="323"/>
      <c r="BS100" s="323"/>
      <c r="BT100" s="323"/>
      <c r="BU100" s="323"/>
      <c r="BV100" s="323"/>
      <c r="BW100" s="323"/>
      <c r="BX100" s="323"/>
      <c r="BY100" s="323"/>
      <c r="BZ100" s="323"/>
      <c r="CA100" s="323"/>
      <c r="CB100" s="323"/>
      <c r="CC100" s="323"/>
      <c r="CD100" s="323"/>
      <c r="CE100" s="323"/>
      <c r="CF100" s="323"/>
      <c r="CG100" s="323"/>
      <c r="CH100" s="323"/>
      <c r="CI100" s="323"/>
      <c r="CJ100" s="323"/>
      <c r="CK100" s="323"/>
      <c r="CL100" s="323"/>
      <c r="CM100" s="323"/>
      <c r="CN100" s="323"/>
      <c r="CO100" s="323"/>
      <c r="CP100" s="1144" t="s">
        <v>77</v>
      </c>
      <c r="CQ100" s="1145"/>
      <c r="CR100" s="323"/>
      <c r="CS100" s="323"/>
      <c r="CT100" s="323"/>
      <c r="CU100" s="323"/>
      <c r="CV100" s="323"/>
      <c r="CW100" s="323"/>
      <c r="CX100" s="323"/>
      <c r="CY100" s="323"/>
      <c r="CZ100" s="323"/>
      <c r="EK100" s="1070"/>
      <c r="EL100" s="1070"/>
      <c r="EM100" s="1070"/>
      <c r="EN100" s="1070"/>
      <c r="EO100" s="1070"/>
      <c r="EP100" s="1070"/>
      <c r="EQ100" s="1070"/>
    </row>
    <row r="101" spans="2:222" ht="40.4" hidden="1" customHeight="1" outlineLevel="1" thickBot="1" x14ac:dyDescent="0.4">
      <c r="B101" s="209" t="str">
        <f>'LCA data'!$B$65</f>
        <v>Indvendig beklædning</v>
      </c>
      <c r="C101" s="464">
        <f t="shared" si="9"/>
        <v>0</v>
      </c>
      <c r="D101" s="171" t="s">
        <v>103</v>
      </c>
      <c r="E101" s="344" t="str">
        <f>IF(D$96=$D$82,D101,VLOOKUP(B101,Auto_Ydervæg[],VLOOKUP(D$96,Type_Tung_Middel_Let[],2,0),0))</f>
        <v>Angiv ikke</v>
      </c>
      <c r="F101" s="459">
        <f>(VLOOKUP(E101,Pris.indvendig.beklædning[],4,0))/1000</f>
        <v>0</v>
      </c>
      <c r="G101" s="354"/>
      <c r="H101" s="355" t="str">
        <f>IFERROR(IF(VLOOKUP(B101&amp;"_"&amp;E101,'LCA data'!$B$7:$X$200,2,FALSE)&lt;$Y$24,1,0)+IF(VLOOKUP(B101&amp;"_"&amp;E101,'LCA data'!$B$7:$X$200,2,FALSE)*2&lt;$Y$24,1,0),"")</f>
        <v/>
      </c>
      <c r="I101" s="171" t="s">
        <v>103</v>
      </c>
      <c r="J101" s="344" t="str">
        <f>IF($I$96=$D$82,I101,VLOOKUP(B101,Auto_Ydervæg[],VLOOKUP(I$96,Type_Tung_Middel_Let[],2,0),0))</f>
        <v>Angiv ikke</v>
      </c>
      <c r="K101" s="518">
        <f>(VLOOKUP(J101,Pris.indvendig.beklædning[],4,0))/1000</f>
        <v>0</v>
      </c>
      <c r="L101" s="519"/>
      <c r="M101" s="520" t="str">
        <f>IFERROR(IF(VLOOKUP(B101&amp;"_"&amp;J101,'LCA data'!$B$7:$X$200,2,FALSE)&lt;$Y$24,1,0)+IF(VLOOKUP(B101&amp;"_"&amp;J101,'LCA data'!$B$7:$X$200,2,FALSE)*2&lt;$Y$24,1,0),"")</f>
        <v/>
      </c>
      <c r="N101" s="210">
        <f>W101/1000</f>
        <v>0</v>
      </c>
      <c r="O101" s="879"/>
      <c r="P101" s="211">
        <f>X101/1000</f>
        <v>0</v>
      </c>
      <c r="Q101" s="890"/>
      <c r="R101" s="212"/>
      <c r="S101" s="213"/>
      <c r="V101" s="251"/>
      <c r="W101" s="323">
        <f>IF(E101="Angiv ikke",0,((1+H101)*VLOOKUP(B101&amp;"_"&amp;E101,'LCA data'!$B$7:$X$360,19,FALSE)*(F101*10^3)*C101))</f>
        <v>0</v>
      </c>
      <c r="X101" s="323">
        <f>IF(J101="Angiv ikke",0,((1+M101)*VLOOKUP(B101&amp;"_"&amp;J101,'LCA data'!$B$7:$X$360,19,FALSE)*(K101*10^3)*C101))</f>
        <v>0</v>
      </c>
      <c r="Y101" s="323"/>
      <c r="Z101" s="323"/>
      <c r="AA101" s="323"/>
      <c r="AB101" s="323"/>
      <c r="AC101" s="323"/>
      <c r="AD101" s="323"/>
      <c r="AE101" s="323"/>
      <c r="AF101" s="323"/>
      <c r="AG101" s="323"/>
      <c r="AH101" s="323"/>
      <c r="AI101" s="323"/>
      <c r="AJ101" s="323"/>
      <c r="AK101" s="323"/>
      <c r="AL101" s="323"/>
      <c r="AM101" s="323"/>
      <c r="AN101" s="323">
        <f>IF(E101="Angiv ikke",0,((1+H101)*VLOOKUP(B101&amp;"_"&amp;E101,'LCA data'!$B$7:$X$360,20,FALSE)*(F101*10^3)*C101))</f>
        <v>0</v>
      </c>
      <c r="AO101" s="323">
        <f>IF(J101="Angiv ikke",0,((1+M101)*VLOOKUP(B101&amp;"_"&amp;J101,'LCA data'!$B$7:$X$360,20,FALSE)*(K101*10^3)*C101))</f>
        <v>0</v>
      </c>
      <c r="AP101" s="323"/>
      <c r="AQ101" s="323"/>
      <c r="AR101" s="323">
        <f>IF(E101="Angiv ikke",0,((1+H101)*VLOOKUP(B101&amp;"_"&amp;E101,'LCA data'!$B$7:$AA$360,26,FALSE)*(F101*10^3)*C101))</f>
        <v>0</v>
      </c>
      <c r="AS101" s="323">
        <f>IF(J101="Angiv ikke",0,((1+M101)*VLOOKUP(B101&amp;"_"&amp;J101,'LCA data'!$B$7:$AA$360,26,FALSE)*(K101*10^3)*C101))</f>
        <v>0</v>
      </c>
      <c r="AT101" s="323"/>
      <c r="AU101" s="323"/>
      <c r="AV101" s="323"/>
      <c r="AW101" s="323"/>
      <c r="AX101" s="323"/>
      <c r="AY101" s="323"/>
      <c r="AZ101" s="323"/>
      <c r="BA101" s="323"/>
      <c r="BB101" s="323"/>
      <c r="BC101" s="323"/>
      <c r="BD101" s="323"/>
      <c r="BE101" s="323"/>
      <c r="BF101" s="323"/>
      <c r="BG101" s="323"/>
      <c r="BH101" s="323"/>
      <c r="BI101" s="323"/>
      <c r="BJ101" s="323"/>
      <c r="BK101" s="323"/>
      <c r="BL101" s="323"/>
      <c r="BM101" s="323"/>
      <c r="BN101" s="323"/>
      <c r="BO101" s="323"/>
      <c r="BP101" s="323"/>
      <c r="BQ101" s="323"/>
      <c r="BR101" s="323"/>
      <c r="BS101" s="323"/>
      <c r="BT101" s="323"/>
      <c r="BU101" s="323"/>
      <c r="BV101" s="323"/>
      <c r="BW101" s="323"/>
      <c r="BX101" s="323"/>
      <c r="BY101" s="323"/>
      <c r="BZ101" s="323"/>
      <c r="CA101" s="323"/>
      <c r="CB101" s="323"/>
      <c r="CC101" s="323"/>
      <c r="CD101" s="323"/>
      <c r="CE101" s="323"/>
      <c r="CF101" s="323"/>
      <c r="CG101" s="323"/>
      <c r="CH101" s="323"/>
      <c r="CI101" s="323"/>
      <c r="CJ101" s="323"/>
      <c r="CK101" s="323"/>
      <c r="CL101" s="323"/>
      <c r="CM101" s="323"/>
      <c r="CN101" s="323"/>
      <c r="CO101" s="323"/>
      <c r="CP101" s="431"/>
      <c r="CQ101" s="432"/>
      <c r="CR101" s="323"/>
      <c r="CS101" s="323"/>
      <c r="CT101" s="323"/>
      <c r="CU101" s="323"/>
      <c r="CV101" s="323"/>
      <c r="CW101" s="323"/>
      <c r="CX101" s="323"/>
      <c r="CY101" s="323"/>
      <c r="CZ101" s="323"/>
      <c r="EK101" s="1070"/>
      <c r="EL101" s="1070"/>
      <c r="EM101" s="1070"/>
      <c r="EN101" s="1070"/>
      <c r="EO101" s="1070"/>
      <c r="EP101" s="1070"/>
      <c r="EQ101" s="1070"/>
    </row>
    <row r="102" spans="2:222" ht="13.5" hidden="1" customHeight="1" outlineLevel="1" x14ac:dyDescent="0.35">
      <c r="B102" s="173" t="s">
        <v>110</v>
      </c>
      <c r="N102" s="218"/>
      <c r="P102" s="216"/>
      <c r="R102" s="217"/>
      <c r="V102" s="251"/>
      <c r="W102" s="323"/>
      <c r="X102" s="323"/>
      <c r="Y102" s="323"/>
      <c r="Z102" s="323"/>
      <c r="AA102" s="323"/>
      <c r="AB102" s="323"/>
      <c r="AC102" s="323"/>
      <c r="AD102" s="323"/>
      <c r="AE102" s="323"/>
      <c r="AF102" s="323"/>
      <c r="AG102" s="323"/>
      <c r="AH102" s="323"/>
      <c r="AI102" s="323" t="str">
        <f>IFERROR(VLOOKUP(B102&amp;"_"&amp;J102,'LCA data'!$B$7:$X$200,19,FALSE)*(K102*10^3)*C102,"")</f>
        <v/>
      </c>
      <c r="AJ102" s="323" t="str">
        <f>IFERROR(VLOOKUP($B102&amp;"_"&amp;J102,'LCA data'!$B$7:$X$238,2,FALSE),"")</f>
        <v/>
      </c>
      <c r="AK102" s="323" t="str">
        <f>IFERROR(IF(M102&gt;0,VLOOKUP(B102&amp;"_"&amp;J102,'LCA data'!$B$7:$X$200,19,FALSE)*(K102*10^3)*C102,""),"")</f>
        <v/>
      </c>
      <c r="AL102" s="323" t="str">
        <f>IFERROR(AJ102+VLOOKUP(B102&amp;"_"&amp;J102,'LCA data'!$B$7:$X$238,2,FALSE),"")</f>
        <v/>
      </c>
      <c r="AM102" s="323" t="str">
        <f>IFERROR(IF(M102-1&gt;0,VLOOKUP(B102&amp;"_"&amp;J102,'LCA data'!$B$7:$X$200,19,FALSE)*(K102*10^3)*C102,""),"")</f>
        <v/>
      </c>
      <c r="AN102" s="323" t="str">
        <f>IFERROR(AL102+VLOOKUP(B102&amp;"_"&amp;J102,'LCA data'!$B$7:$X$238,2,FALSE),"")</f>
        <v/>
      </c>
      <c r="AO102" s="323" t="str">
        <f>IFERROR(IF(M102-2&gt;0,VLOOKUP(B102&amp;"_"&amp;J102,'LCA data'!$B$7:$X$200,19,FALSE)*(K102*10^3)*C102,""),"")</f>
        <v/>
      </c>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3"/>
      <c r="CD102" s="323"/>
      <c r="CE102" s="323"/>
      <c r="CF102" s="323"/>
      <c r="CG102" s="323"/>
      <c r="CH102" s="323"/>
      <c r="CI102" s="323"/>
      <c r="CJ102" s="323"/>
      <c r="CK102" s="323"/>
      <c r="CL102" s="323"/>
      <c r="CM102" s="323"/>
      <c r="CN102" s="323"/>
      <c r="CO102" s="323"/>
      <c r="CP102" s="431"/>
      <c r="CQ102" s="433"/>
      <c r="CR102" s="323"/>
      <c r="CS102" s="323"/>
      <c r="CT102" s="323"/>
      <c r="CU102" s="323"/>
      <c r="CV102" s="323"/>
      <c r="CW102" s="323"/>
      <c r="CX102" s="323"/>
      <c r="CY102" s="323"/>
      <c r="CZ102" s="323"/>
      <c r="EK102" s="1070"/>
      <c r="EL102" s="1070"/>
      <c r="EM102" s="1070"/>
      <c r="EN102" s="1070"/>
      <c r="EO102" s="1070"/>
      <c r="EP102" s="1070"/>
      <c r="EQ102" s="1070"/>
    </row>
    <row r="103" spans="2:222" ht="18.649999999999999" customHeight="1" collapsed="1" x14ac:dyDescent="0.45">
      <c r="B103" s="547"/>
      <c r="C103" s="548"/>
      <c r="D103" s="542"/>
      <c r="E103" s="549"/>
      <c r="F103" s="549"/>
      <c r="G103" s="549"/>
      <c r="H103" s="549"/>
      <c r="I103" s="542"/>
      <c r="J103" s="982"/>
      <c r="K103" s="982"/>
      <c r="L103" s="982"/>
      <c r="M103" s="549"/>
      <c r="N103" s="981"/>
      <c r="O103" s="981"/>
      <c r="P103" s="981"/>
      <c r="Q103" s="220"/>
      <c r="S103" s="217"/>
      <c r="V103" s="251"/>
      <c r="W103" s="323"/>
      <c r="X103" s="323"/>
      <c r="Y103" s="323"/>
      <c r="Z103" s="323"/>
      <c r="AA103" s="323"/>
      <c r="AB103" s="323"/>
      <c r="AC103" s="323"/>
      <c r="AD103" s="323"/>
      <c r="AE103" s="323"/>
      <c r="AF103" s="323"/>
      <c r="AG103" s="323"/>
      <c r="AH103" s="323"/>
      <c r="AI103" s="323" t="str">
        <f>IFERROR(VLOOKUP(B103&amp;"_"&amp;J103,'LCA data'!$B$7:$X$200,19,FALSE)*(K103*10^3)*C103,"")</f>
        <v/>
      </c>
      <c r="AJ103" s="323" t="str">
        <f>IFERROR(VLOOKUP($B103&amp;"_"&amp;J103,'LCA data'!$B$7:$X$238,2,FALSE),"")</f>
        <v/>
      </c>
      <c r="AK103" s="323" t="str">
        <f>IFERROR(IF(M103&gt;0,VLOOKUP(B103&amp;"_"&amp;J103,'LCA data'!$B$7:$X$200,19,FALSE)*(K103*10^3)*C103,""),"")</f>
        <v/>
      </c>
      <c r="AL103" s="323" t="str">
        <f>IFERROR(AJ103+VLOOKUP(B103&amp;"_"&amp;J103,'LCA data'!$B$7:$X$238,2,FALSE),"")</f>
        <v/>
      </c>
      <c r="AM103" s="323" t="str">
        <f>IFERROR(IF(M103-1&gt;0,VLOOKUP(B103&amp;"_"&amp;J103,'LCA data'!$B$7:$X$200,19,FALSE)*(K103*10^3)*C103,""),"")</f>
        <v/>
      </c>
      <c r="AN103" s="323" t="str">
        <f>IFERROR(AL103+VLOOKUP(B103&amp;"_"&amp;J103,'LCA data'!$B$7:$X$238,2,FALSE),"")</f>
        <v/>
      </c>
      <c r="AO103" s="323" t="str">
        <f>IFERROR(IF(M103-2&gt;0,VLOOKUP(B103&amp;"_"&amp;J103,'LCA data'!$B$7:$X$200,19,FALSE)*(K103*10^3)*C103,""),"")</f>
        <v/>
      </c>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c r="BM103" s="323"/>
      <c r="BN103" s="323"/>
      <c r="BO103" s="323"/>
      <c r="BP103" s="323"/>
      <c r="BQ103" s="323"/>
      <c r="BR103" s="323"/>
      <c r="BS103" s="323"/>
      <c r="BT103" s="323"/>
      <c r="BU103" s="323"/>
      <c r="BV103" s="323"/>
      <c r="BW103" s="323"/>
      <c r="BX103" s="323"/>
      <c r="BY103" s="323"/>
      <c r="BZ103" s="323"/>
      <c r="CA103" s="323"/>
      <c r="CB103" s="323"/>
      <c r="CC103" s="323"/>
      <c r="CD103" s="323"/>
      <c r="CE103" s="323"/>
      <c r="CF103" s="323"/>
      <c r="CG103" s="323"/>
      <c r="CH103" s="323"/>
      <c r="CI103" s="323"/>
      <c r="CJ103" s="323"/>
      <c r="CK103" s="323"/>
      <c r="CL103" s="323"/>
      <c r="CM103" s="323"/>
      <c r="CN103" s="323"/>
      <c r="CO103" s="323"/>
      <c r="CP103" s="431"/>
      <c r="CQ103" s="434"/>
      <c r="CR103" s="323"/>
      <c r="CS103" s="323"/>
      <c r="CT103" s="323"/>
      <c r="CU103" s="323"/>
      <c r="CV103" s="323"/>
      <c r="CW103" s="323"/>
      <c r="CX103" s="323"/>
      <c r="CY103" s="323"/>
      <c r="CZ103" s="323"/>
      <c r="EK103" s="1070"/>
      <c r="EL103" s="1070"/>
      <c r="EM103" s="1070"/>
      <c r="EN103" s="1070"/>
      <c r="EO103" s="1070"/>
      <c r="EP103" s="1070"/>
      <c r="EQ103" s="1070"/>
    </row>
    <row r="104" spans="2:222" ht="31.5" hidden="1" customHeight="1" outlineLevel="1" x14ac:dyDescent="0.35">
      <c r="B104" s="492" t="s">
        <v>112</v>
      </c>
      <c r="C104" s="499"/>
      <c r="D104" s="499"/>
      <c r="E104" s="506" t="s">
        <v>76</v>
      </c>
      <c r="F104" s="499"/>
      <c r="G104" s="499"/>
      <c r="H104" s="499"/>
      <c r="I104" s="500" t="str">
        <f>"Ydervæg"&amp;" "&amp;4</f>
        <v>Ydervæg 4</v>
      </c>
      <c r="J104" s="500"/>
      <c r="K104" s="499"/>
      <c r="L104" s="499"/>
      <c r="M104" s="499"/>
      <c r="N104" s="499"/>
      <c r="O104" s="499"/>
      <c r="P104" s="499"/>
      <c r="Q104" s="501"/>
      <c r="R104" s="190"/>
      <c r="S104" s="191"/>
      <c r="V104" s="251"/>
      <c r="W104" s="323">
        <f>IF(D107=$D$82,1,0)</f>
        <v>1</v>
      </c>
      <c r="X104" s="323">
        <f>IF(I107=$D$82,1,0)</f>
        <v>1</v>
      </c>
      <c r="Y104" s="323"/>
      <c r="Z104" s="323"/>
      <c r="AA104" s="323"/>
      <c r="AB104" s="323"/>
      <c r="AC104" s="323"/>
      <c r="AD104" s="323"/>
      <c r="AE104" s="323"/>
      <c r="AF104" s="323"/>
      <c r="AG104" s="323"/>
      <c r="AH104" s="323"/>
      <c r="AI104" s="323"/>
      <c r="AJ104" s="323" t="s">
        <v>746</v>
      </c>
      <c r="AK104" s="323" t="s">
        <v>747</v>
      </c>
      <c r="AL104" s="323" t="str">
        <f>IFERROR(AJ104+VLOOKUP(E104&amp;"_"&amp;J104,'LCA data'!$B$7:$X$238,2,FALSE),"")</f>
        <v/>
      </c>
      <c r="AM104" s="323" t="str">
        <f>IFERROR(IF(M104-1&gt;0,VLOOKUP(E104&amp;"_"&amp;J104,'LCA data'!$B$7:$X$200,19,FALSE)*(K104*10^3)*C104,""),"")</f>
        <v/>
      </c>
      <c r="AN104" s="323" t="s">
        <v>846</v>
      </c>
      <c r="AO104" s="323"/>
      <c r="AP104" s="323"/>
      <c r="AQ104" s="323"/>
      <c r="AR104" s="323" t="s">
        <v>851</v>
      </c>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M104" s="323"/>
      <c r="BN104" s="323"/>
      <c r="BO104" s="323"/>
      <c r="BP104" s="323"/>
      <c r="BQ104" s="323"/>
      <c r="BR104" s="323"/>
      <c r="BS104" s="323"/>
      <c r="BT104" s="323"/>
      <c r="BU104" s="323"/>
      <c r="BV104" s="323"/>
      <c r="BW104" s="323"/>
      <c r="BX104" s="323"/>
      <c r="BY104" s="323"/>
      <c r="BZ104" s="323"/>
      <c r="CA104" s="323"/>
      <c r="CB104" s="323"/>
      <c r="CC104" s="323"/>
      <c r="CD104" s="323"/>
      <c r="CE104" s="323"/>
      <c r="CF104" s="323"/>
      <c r="CG104" s="323"/>
      <c r="CH104" s="323"/>
      <c r="CI104" s="323"/>
      <c r="CJ104" s="323"/>
      <c r="CK104" s="323"/>
      <c r="CL104" s="323"/>
      <c r="CM104" s="323"/>
      <c r="CN104" s="323"/>
      <c r="CO104" s="323"/>
      <c r="CP104" s="431"/>
      <c r="CQ104" s="433"/>
      <c r="CR104" s="323"/>
      <c r="CS104" s="323"/>
      <c r="CT104" s="323"/>
      <c r="CU104" s="323"/>
      <c r="CV104" s="323"/>
      <c r="CW104" s="323"/>
      <c r="CX104" s="323"/>
      <c r="CY104" s="323"/>
      <c r="CZ104" s="323"/>
      <c r="EK104" s="1070"/>
      <c r="EL104" s="1070"/>
      <c r="EM104" s="1070"/>
      <c r="EN104" s="1070"/>
      <c r="EO104" s="1070"/>
      <c r="EP104" s="1070"/>
      <c r="EQ104" s="1070"/>
    </row>
    <row r="105" spans="2:222" ht="40.4" hidden="1" customHeight="1" outlineLevel="1" x14ac:dyDescent="0.35">
      <c r="B105" s="359" t="s">
        <v>78</v>
      </c>
      <c r="C105" s="195" t="s">
        <v>80</v>
      </c>
      <c r="D105" s="910" t="s">
        <v>4</v>
      </c>
      <c r="E105" s="911"/>
      <c r="F105" s="911"/>
      <c r="G105" s="911"/>
      <c r="H105" s="912"/>
      <c r="I105" s="885" t="s">
        <v>5</v>
      </c>
      <c r="J105" s="886"/>
      <c r="K105" s="886"/>
      <c r="L105" s="886"/>
      <c r="M105" s="887"/>
      <c r="N105" s="877" t="s">
        <v>79</v>
      </c>
      <c r="O105" s="877"/>
      <c r="P105" s="877"/>
      <c r="Q105" s="881"/>
      <c r="R105" s="192"/>
      <c r="S105" s="193"/>
      <c r="T105" s="175"/>
      <c r="V105" s="251"/>
      <c r="W105" s="323"/>
      <c r="X105" s="323"/>
      <c r="Y105" s="323"/>
      <c r="Z105" s="323"/>
      <c r="AA105" s="323"/>
      <c r="AB105" s="323"/>
      <c r="AC105" s="323"/>
      <c r="AD105" s="323"/>
      <c r="AE105" s="323"/>
      <c r="AF105" s="323"/>
      <c r="AG105" s="323"/>
      <c r="AH105" s="323"/>
      <c r="AI105" s="323" t="str">
        <f>'LCA data'!$B$8</f>
        <v>Udvendig beklædning</v>
      </c>
      <c r="AJ105" s="323">
        <f>VLOOKUP(E108,Pris.udvendig.beklædning[],2,0)*C108</f>
        <v>0</v>
      </c>
      <c r="AK105" s="323">
        <f>VLOOKUP(J108,Pris.udvendig.beklædning[],2,0)*C108</f>
        <v>0</v>
      </c>
      <c r="AL105" s="323" t="str">
        <f>IFERROR(AJ105+VLOOKUP(B105&amp;"_"&amp;I105,'LCA data'!$B$7:$X$238,2,FALSE),"")</f>
        <v/>
      </c>
      <c r="AM105" s="323" t="str">
        <f>IFERROR(IF(M105-1&gt;0,VLOOKUP(B105&amp;"_"&amp;I105,'LCA data'!$B$7:$X$200,19,FALSE)*(K105*10^3)*C105,""),"")</f>
        <v/>
      </c>
      <c r="AN105" s="323" t="s">
        <v>4</v>
      </c>
      <c r="AO105" s="323" t="s">
        <v>5</v>
      </c>
      <c r="AP105" s="323"/>
      <c r="AQ105" s="323"/>
      <c r="AR105" s="323" t="s">
        <v>4</v>
      </c>
      <c r="AS105" s="323" t="s">
        <v>5</v>
      </c>
      <c r="AT105" s="323"/>
      <c r="AU105" s="323"/>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c r="CL105" s="323"/>
      <c r="CM105" s="323"/>
      <c r="CN105" s="323"/>
      <c r="CO105" s="323"/>
      <c r="CP105" s="431"/>
      <c r="CQ105" s="433"/>
      <c r="CR105" s="323"/>
      <c r="CS105" s="323"/>
      <c r="CT105" s="323"/>
      <c r="CU105" s="323"/>
      <c r="CV105" s="323"/>
      <c r="CW105" s="323"/>
      <c r="CX105" s="323"/>
      <c r="CY105" s="323"/>
      <c r="CZ105" s="323"/>
      <c r="EK105" s="1070"/>
      <c r="EL105" s="1070"/>
      <c r="EM105" s="1070"/>
      <c r="EN105" s="1070"/>
      <c r="EO105" s="1070"/>
      <c r="EP105" s="1070"/>
      <c r="EQ105" s="1070"/>
    </row>
    <row r="106" spans="2:222" ht="40.4" hidden="1" customHeight="1" outlineLevel="1" x14ac:dyDescent="0.35">
      <c r="B106" s="194"/>
      <c r="C106" s="665">
        <v>0</v>
      </c>
      <c r="D106" s="908" t="s">
        <v>797</v>
      </c>
      <c r="E106" s="909"/>
      <c r="F106" s="338" t="s">
        <v>82</v>
      </c>
      <c r="G106" s="338" t="s">
        <v>83</v>
      </c>
      <c r="H106" s="346" t="s">
        <v>84</v>
      </c>
      <c r="I106" s="913" t="s">
        <v>797</v>
      </c>
      <c r="J106" s="914"/>
      <c r="K106" s="479" t="s">
        <v>82</v>
      </c>
      <c r="L106" s="479" t="s">
        <v>83</v>
      </c>
      <c r="M106" s="508" t="s">
        <v>84</v>
      </c>
      <c r="N106" s="195" t="s">
        <v>4</v>
      </c>
      <c r="O106" s="195" t="s">
        <v>85</v>
      </c>
      <c r="P106" s="195" t="s">
        <v>5</v>
      </c>
      <c r="Q106" s="357" t="s">
        <v>86</v>
      </c>
      <c r="R106" s="192"/>
      <c r="S106" s="196"/>
      <c r="V106" s="251"/>
      <c r="W106" s="323" t="s">
        <v>87</v>
      </c>
      <c r="X106" s="323" t="s">
        <v>88</v>
      </c>
      <c r="Y106" s="323" t="s">
        <v>89</v>
      </c>
      <c r="Z106" s="323" t="s">
        <v>90</v>
      </c>
      <c r="AA106" s="323" t="s">
        <v>91</v>
      </c>
      <c r="AB106" s="323"/>
      <c r="AC106" s="323"/>
      <c r="AD106" s="323"/>
      <c r="AE106" s="323" t="s">
        <v>92</v>
      </c>
      <c r="AF106" s="323"/>
      <c r="AG106" s="323"/>
      <c r="AH106" s="323"/>
      <c r="AI106" s="323" t="str">
        <f>'LCA data'!$B$25</f>
        <v>Udvendig konstruktion</v>
      </c>
      <c r="AJ106" s="323">
        <f>VLOOKUP(E109,Pris.udvendig.konstruktion[],2,0)*C109</f>
        <v>0</v>
      </c>
      <c r="AK106" s="323">
        <f>VLOOKUP(J109,Pris.udvendig.konstruktion[],2,0)*C109</f>
        <v>0</v>
      </c>
      <c r="AL106" s="323"/>
      <c r="AM106" s="323"/>
      <c r="AN106" s="323">
        <f>SUM(AN108:AN112)</f>
        <v>0</v>
      </c>
      <c r="AO106" s="323">
        <f>SUM(AO108:AO112)</f>
        <v>0</v>
      </c>
      <c r="AP106" s="323"/>
      <c r="AQ106" s="323"/>
      <c r="AR106" s="323">
        <f>SUM(AR108:AR111)</f>
        <v>0</v>
      </c>
      <c r="AS106" s="323">
        <f>SUM(AS108:AS111)</f>
        <v>0</v>
      </c>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435"/>
      <c r="CQ106" s="433"/>
      <c r="CR106" s="323"/>
      <c r="CS106" s="323"/>
      <c r="CT106" s="323"/>
      <c r="CU106" s="323"/>
      <c r="CV106" s="323"/>
      <c r="CW106" s="323"/>
      <c r="CX106" s="323"/>
      <c r="CY106" s="323"/>
      <c r="CZ106" s="323"/>
      <c r="EK106" s="1070"/>
      <c r="EL106" s="1070"/>
      <c r="EM106" s="1070"/>
      <c r="EN106" s="1070"/>
      <c r="EO106" s="1070"/>
      <c r="EP106" s="1070"/>
      <c r="EQ106" s="1070"/>
    </row>
    <row r="107" spans="2:222" s="198" customFormat="1" ht="26" hidden="1" customHeight="1" outlineLevel="1" x14ac:dyDescent="0.35">
      <c r="B107" s="199"/>
      <c r="C107" s="200" t="s">
        <v>93</v>
      </c>
      <c r="D107" s="915" t="s">
        <v>811</v>
      </c>
      <c r="E107" s="915"/>
      <c r="F107" s="347" t="s">
        <v>94</v>
      </c>
      <c r="G107" s="348" t="s">
        <v>95</v>
      </c>
      <c r="H107" s="349" t="s">
        <v>96</v>
      </c>
      <c r="I107" s="915" t="s">
        <v>811</v>
      </c>
      <c r="J107" s="915"/>
      <c r="K107" s="510" t="s">
        <v>94</v>
      </c>
      <c r="L107" s="511" t="s">
        <v>95</v>
      </c>
      <c r="M107" s="512" t="s">
        <v>96</v>
      </c>
      <c r="N107" s="201" t="s">
        <v>97</v>
      </c>
      <c r="O107" s="201" t="s">
        <v>97</v>
      </c>
      <c r="P107" s="201" t="s">
        <v>97</v>
      </c>
      <c r="Q107" s="358" t="s">
        <v>97</v>
      </c>
      <c r="R107" s="202"/>
      <c r="S107" s="203"/>
      <c r="T107" s="204"/>
      <c r="U107" s="204"/>
      <c r="V107" s="325"/>
      <c r="W107" s="323">
        <f>SUM(W108:W112)</f>
        <v>0</v>
      </c>
      <c r="X107" s="323">
        <f>SUM(X108:X112)</f>
        <v>0</v>
      </c>
      <c r="Y107" s="323"/>
      <c r="Z107" s="323"/>
      <c r="AA107" s="323"/>
      <c r="AB107" s="323" t="s">
        <v>111</v>
      </c>
      <c r="AC107" s="323" t="s">
        <v>98</v>
      </c>
      <c r="AD107" s="323" t="s">
        <v>99</v>
      </c>
      <c r="AE107" s="323" t="s">
        <v>100</v>
      </c>
      <c r="AF107" s="323"/>
      <c r="AG107" s="323"/>
      <c r="AH107" s="323"/>
      <c r="AI107" s="323" t="str">
        <f>'LCA data'!$B$32</f>
        <v>Isolering</v>
      </c>
      <c r="AJ107" s="323">
        <f>VLOOKUP(E110,Pris.isolering[],2,0)*F110*C110</f>
        <v>0</v>
      </c>
      <c r="AK107" s="323">
        <f>VLOOKUP(J110,Pris.isolering[],2,0)*K110*C110</f>
        <v>0</v>
      </c>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436"/>
      <c r="CQ107" s="433"/>
      <c r="CR107" s="323"/>
      <c r="CS107" s="323"/>
      <c r="CT107" s="323"/>
      <c r="CU107" s="323"/>
      <c r="CV107" s="323"/>
      <c r="CW107" s="323"/>
      <c r="CX107" s="323"/>
      <c r="CY107" s="323"/>
      <c r="CZ107" s="323"/>
      <c r="DA107" s="325"/>
      <c r="DB107" s="325"/>
      <c r="DC107" s="325"/>
      <c r="DD107" s="325"/>
      <c r="DE107" s="325"/>
      <c r="DF107" s="325"/>
      <c r="DG107" s="325"/>
      <c r="DH107" s="325"/>
      <c r="DI107" s="325"/>
      <c r="DJ107" s="325"/>
      <c r="DK107" s="325"/>
      <c r="DL107" s="325"/>
      <c r="DM107" s="325"/>
      <c r="DN107" s="325"/>
      <c r="DO107" s="325"/>
      <c r="DP107" s="325"/>
      <c r="DQ107" s="325"/>
      <c r="DR107" s="325"/>
      <c r="DS107" s="325"/>
      <c r="DT107" s="325"/>
      <c r="DU107" s="325"/>
      <c r="DV107" s="325"/>
      <c r="DW107" s="325"/>
      <c r="DX107" s="325"/>
      <c r="DY107" s="325"/>
      <c r="DZ107" s="325"/>
      <c r="EA107" s="325"/>
      <c r="EB107" s="325"/>
      <c r="EC107" s="325"/>
      <c r="ED107" s="325"/>
      <c r="EE107" s="325"/>
      <c r="EF107" s="325"/>
      <c r="EG107" s="325"/>
      <c r="EH107" s="325"/>
      <c r="EI107" s="325"/>
      <c r="EJ107" s="325"/>
      <c r="EK107" s="1072"/>
      <c r="EL107" s="1072"/>
      <c r="EM107" s="1072"/>
      <c r="EN107" s="1072"/>
      <c r="EO107" s="1072"/>
      <c r="EP107" s="1072"/>
      <c r="EQ107" s="1072"/>
      <c r="ER107" s="325"/>
      <c r="ES107" s="325"/>
      <c r="ET107" s="325"/>
      <c r="EU107" s="325"/>
      <c r="EV107" s="325"/>
      <c r="EW107" s="325"/>
      <c r="EX107" s="325"/>
      <c r="EY107" s="325"/>
      <c r="EZ107" s="325"/>
      <c r="FA107" s="325"/>
      <c r="FB107" s="325"/>
      <c r="FC107" s="325"/>
      <c r="FD107" s="325"/>
      <c r="FE107" s="325"/>
      <c r="FF107" s="325"/>
      <c r="FG107" s="325"/>
      <c r="FH107" s="325"/>
      <c r="FI107" s="325"/>
      <c r="FJ107" s="325"/>
      <c r="FK107" s="325"/>
      <c r="FL107" s="325"/>
      <c r="FM107" s="325"/>
      <c r="FN107" s="325"/>
      <c r="FO107" s="325"/>
      <c r="FP107" s="325"/>
      <c r="FQ107" s="325"/>
      <c r="FR107" s="325"/>
      <c r="FS107" s="325"/>
      <c r="FT107" s="325"/>
      <c r="FU107" s="325"/>
      <c r="FV107" s="325"/>
      <c r="FW107" s="325"/>
      <c r="FX107" s="325"/>
      <c r="FY107" s="325"/>
      <c r="FZ107" s="325"/>
      <c r="GA107" s="325"/>
      <c r="GB107" s="325"/>
      <c r="GC107" s="325"/>
      <c r="GD107" s="325"/>
      <c r="GE107" s="325"/>
      <c r="GF107" s="325"/>
      <c r="GG107" s="325"/>
      <c r="GH107" s="325"/>
      <c r="GI107" s="325"/>
      <c r="GJ107" s="325"/>
      <c r="GK107" s="325"/>
      <c r="GL107" s="325"/>
      <c r="GM107" s="325"/>
      <c r="GN107" s="325"/>
      <c r="GO107" s="325"/>
      <c r="GP107" s="325"/>
      <c r="GQ107" s="325"/>
      <c r="GR107" s="325"/>
      <c r="GS107" s="325"/>
      <c r="GT107" s="325"/>
      <c r="GU107" s="325"/>
      <c r="GV107" s="325"/>
      <c r="GW107" s="325"/>
      <c r="GX107" s="325"/>
      <c r="GY107" s="325"/>
      <c r="GZ107" s="325"/>
      <c r="HA107" s="325"/>
      <c r="HB107" s="325"/>
      <c r="HC107" s="325"/>
      <c r="HD107" s="325"/>
      <c r="HE107" s="325"/>
      <c r="HF107" s="325"/>
      <c r="HG107" s="325"/>
      <c r="HH107" s="325"/>
      <c r="HI107" s="325"/>
      <c r="HJ107" s="325"/>
      <c r="HK107" s="325"/>
      <c r="HL107" s="325"/>
      <c r="HM107" s="325"/>
      <c r="HN107" s="325"/>
    </row>
    <row r="108" spans="2:222" ht="40.4" hidden="1" customHeight="1" outlineLevel="1" thickBot="1" x14ac:dyDescent="0.4">
      <c r="B108" s="205" t="str">
        <f>'LCA data'!$B$8</f>
        <v>Udvendig beklædning</v>
      </c>
      <c r="C108" s="465">
        <f>$C$106*$C$42</f>
        <v>0</v>
      </c>
      <c r="D108" s="15" t="s">
        <v>103</v>
      </c>
      <c r="E108" s="342" t="str">
        <f>IF(D107=$D$82,D108,VLOOKUP(B108,Auto_Ydervæg[],VLOOKUP(D107,Type_Tung_Middel_Let[],2,0),0))</f>
        <v>Angiv ikke</v>
      </c>
      <c r="F108" s="356">
        <f>(VLOOKUP(E108,Pris.udvendig.beklædning[],4,0))/1000</f>
        <v>0</v>
      </c>
      <c r="G108" s="350"/>
      <c r="H108" s="351" t="str">
        <f>IFERROR(IF(VLOOKUP(B108&amp;"_"&amp;E108,'LCA data'!$B$7:$X$200,2,FALSE)&lt;$Y$24,1,0)+IF(VLOOKUP(B108&amp;"_"&amp;E108,'LCA data'!$B$7:$X$200,2,FALSE)*2&lt;$Y$24,1,0),"")</f>
        <v/>
      </c>
      <c r="I108" s="15" t="s">
        <v>103</v>
      </c>
      <c r="J108" s="342" t="str">
        <f>IF(I107=$D$82,I108,VLOOKUP(B108,Auto_Ydervæg[],VLOOKUP(I107,Type_Tung_Middel_Let[],2,0),0))</f>
        <v>Angiv ikke</v>
      </c>
      <c r="K108" s="513">
        <f>(VLOOKUP(J108,Pris.udvendig.beklædning[],4,0))/1000</f>
        <v>0</v>
      </c>
      <c r="L108" s="514"/>
      <c r="M108" s="515" t="str">
        <f>IFERROR(IF(VLOOKUP(B108&amp;"_"&amp;J108,'LCA data'!$B$7:$X$200,2,FALSE)&lt;$Y$24,1,0)+IF(VLOOKUP(B108&amp;"_"&amp;J108,'LCA data'!$B$7:$X$200,2,FALSE)*2&lt;$Y$24,1,0),"")</f>
        <v/>
      </c>
      <c r="N108" s="206">
        <f>W108/1000</f>
        <v>0</v>
      </c>
      <c r="O108" s="878">
        <f>SUM(N108:N112)</f>
        <v>0</v>
      </c>
      <c r="P108" s="207">
        <f>X108/1000</f>
        <v>0</v>
      </c>
      <c r="Q108" s="888">
        <f>SUM(P108:P112)</f>
        <v>0</v>
      </c>
      <c r="R108" s="192"/>
      <c r="S108" s="196"/>
      <c r="V108" s="251"/>
      <c r="W108" s="323">
        <f>IF(E108="Angiv ikke",0,((1+H108)*VLOOKUP(B108&amp;"_"&amp;E108,'LCA data'!$B$7:$X$360,19,FALSE)*(F108*10^3)*C108))</f>
        <v>0</v>
      </c>
      <c r="X108" s="323">
        <f>IF(J108="Angiv ikke",0,((1+M108)*VLOOKUP(B108&amp;"_"&amp;J108,'LCA data'!$B$7:$X$360,19,FALSE)*(K108*10^3)*C108))</f>
        <v>0</v>
      </c>
      <c r="Y108" s="323"/>
      <c r="Z108" s="323"/>
      <c r="AA108" s="323" t="s">
        <v>4</v>
      </c>
      <c r="AB108" s="323">
        <f>AF108/$J$21/$Y$24*1000</f>
        <v>0</v>
      </c>
      <c r="AC108" s="323">
        <f>Varmetab!H70</f>
        <v>0</v>
      </c>
      <c r="AD108" s="323">
        <f>AB108+AC108</f>
        <v>0</v>
      </c>
      <c r="AE108" s="323" t="s">
        <v>4</v>
      </c>
      <c r="AF108" s="323">
        <f>W107/1000</f>
        <v>0</v>
      </c>
      <c r="AG108" s="323"/>
      <c r="AH108" s="323"/>
      <c r="AI108" s="323" t="str">
        <f>'LCA data'!$B$52</f>
        <v>Indvendig konstruktion</v>
      </c>
      <c r="AJ108" s="323">
        <f>VLOOKUP(E111,Pris.indvendig.konstruktion[],2,0)*F111*C111</f>
        <v>0</v>
      </c>
      <c r="AK108" s="323">
        <f>VLOOKUP(J111,Pris.indvendig.konstruktion[],2,0)*K111*C111</f>
        <v>0</v>
      </c>
      <c r="AL108" s="323"/>
      <c r="AM108" s="323"/>
      <c r="AN108" s="323">
        <f>IF(E108="Angiv ikke",0,((1+H108)*VLOOKUP(B108&amp;"_"&amp;E108,'LCA data'!$B$7:$X$360,20,FALSE)*(F108*10^3)*C108))</f>
        <v>0</v>
      </c>
      <c r="AO108" s="323">
        <f>IF(J108="Angiv ikke",0,((1+M108)*VLOOKUP(B108&amp;"_"&amp;J108,'LCA data'!$B$7:$X$360,20,FALSE)*(K108*10^3)*C108))</f>
        <v>0</v>
      </c>
      <c r="AP108" s="323"/>
      <c r="AQ108" s="323"/>
      <c r="AR108" s="323">
        <f>IF(E108="Angiv ikke",0,((1+H108)*VLOOKUP(B108&amp;"_"&amp;E108,'LCA data'!$B$7:$AA$360,26,FALSE)*(F108*10^3)*C108))</f>
        <v>0</v>
      </c>
      <c r="AS108" s="323">
        <f>IF(J108="Angiv ikke",0,((1+M108)*VLOOKUP(B108&amp;"_"&amp;J108,'LCA data'!$B$7:$AA$360,26,FALSE)*(K108*10^3)*C108))</f>
        <v>0</v>
      </c>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c r="BN108" s="323"/>
      <c r="BO108" s="323"/>
      <c r="BP108" s="323"/>
      <c r="BQ108" s="323"/>
      <c r="BR108" s="323"/>
      <c r="BS108" s="323"/>
      <c r="BT108" s="323"/>
      <c r="BU108" s="323"/>
      <c r="BV108" s="323"/>
      <c r="BW108" s="323"/>
      <c r="BX108" s="323"/>
      <c r="BY108" s="323"/>
      <c r="BZ108" s="323"/>
      <c r="CA108" s="323"/>
      <c r="CB108" s="323"/>
      <c r="CC108" s="323"/>
      <c r="CD108" s="323"/>
      <c r="CE108" s="323"/>
      <c r="CF108" s="323"/>
      <c r="CG108" s="323"/>
      <c r="CH108" s="323"/>
      <c r="CI108" s="323"/>
      <c r="CJ108" s="323"/>
      <c r="CK108" s="323"/>
      <c r="CL108" s="323"/>
      <c r="CM108" s="323"/>
      <c r="CN108" s="323"/>
      <c r="CO108" s="323"/>
      <c r="CP108" s="437"/>
      <c r="CQ108" s="438"/>
      <c r="CR108" s="323"/>
      <c r="CS108" s="323"/>
      <c r="CT108" s="323"/>
      <c r="CU108" s="323"/>
      <c r="CV108" s="323"/>
      <c r="CW108" s="323"/>
      <c r="CX108" s="323"/>
      <c r="CY108" s="323"/>
      <c r="CZ108" s="323"/>
      <c r="EK108" s="1070"/>
      <c r="EL108" s="1070"/>
      <c r="EM108" s="1070"/>
      <c r="EN108" s="1070"/>
      <c r="EO108" s="1070"/>
      <c r="EP108" s="1070"/>
      <c r="EQ108" s="1070"/>
    </row>
    <row r="109" spans="2:222" ht="40.4" hidden="1" customHeight="1" outlineLevel="1" x14ac:dyDescent="0.35">
      <c r="B109" s="205" t="str">
        <f>'LCA data'!$B$25</f>
        <v>Udvendig konstruktion</v>
      </c>
      <c r="C109" s="465">
        <f t="shared" ref="C109:C112" si="10">$C$106*$C$42</f>
        <v>0</v>
      </c>
      <c r="D109" s="168" t="s">
        <v>103</v>
      </c>
      <c r="E109" s="342" t="str">
        <f>IF(D107=$D$82,D109,VLOOKUP(B109,Auto_Ydervæg[],VLOOKUP(D107,Type_Tung_Middel_Let[],2,0),0))</f>
        <v>Angiv ikke</v>
      </c>
      <c r="F109" s="356"/>
      <c r="G109" s="353"/>
      <c r="H109" s="351" t="str">
        <f>IFERROR(IF(VLOOKUP(B109&amp;"_"&amp;E109,'LCA data'!$B$7:$X$200,2,FALSE)&lt;$Y$24,1,0)+IF(VLOOKUP(B109&amp;"_"&amp;E109,'LCA data'!$B$7:$X$200,2,FALSE)*2&lt;$Y$24,1,0),"")</f>
        <v/>
      </c>
      <c r="I109" s="168" t="s">
        <v>103</v>
      </c>
      <c r="J109" s="342" t="str">
        <f>IF($I107=$D$82,I109,VLOOKUP(B109,Auto_Ydervæg[],VLOOKUP(I107,Type_Tung_Middel_Let[],2,0),0))</f>
        <v>Angiv ikke</v>
      </c>
      <c r="K109" s="513"/>
      <c r="L109" s="514"/>
      <c r="M109" s="515" t="str">
        <f>IFERROR(IF(VLOOKUP(B109&amp;"_"&amp;J109,'LCA data'!$B$7:$X$200,2,FALSE)&lt;$Y$24,1,0)+IF(VLOOKUP(B109&amp;"_"&amp;J109,'LCA data'!$B$7:$X$200,2,FALSE)*2&lt;$Y$24,1,0),"")</f>
        <v/>
      </c>
      <c r="N109" s="206">
        <f>W109/1000</f>
        <v>0</v>
      </c>
      <c r="O109" s="878"/>
      <c r="P109" s="207">
        <f>X109/1000</f>
        <v>0</v>
      </c>
      <c r="Q109" s="889"/>
      <c r="R109" s="192"/>
      <c r="S109" s="196"/>
      <c r="V109" s="251"/>
      <c r="W109" s="323">
        <f>IF(E109="Angiv ikke",0,((1+H109)*VLOOKUP(B109&amp;"_"&amp;E109,'LCA data'!$B$7:$X$360,19,FALSE)*C109))</f>
        <v>0</v>
      </c>
      <c r="X109" s="323">
        <f>IF(J109="Angiv ikke",0,((1+M109)*VLOOKUP(B109&amp;"_"&amp;J109,'LCA data'!$B$7:$X$360,19,FALSE)*C109))</f>
        <v>0</v>
      </c>
      <c r="Y109" s="323"/>
      <c r="Z109" s="323"/>
      <c r="AA109" s="323" t="s">
        <v>5</v>
      </c>
      <c r="AB109" s="323">
        <f>AG109/$J$21/$Y$24*1000</f>
        <v>0</v>
      </c>
      <c r="AC109" s="323">
        <f>Varmetab!I70</f>
        <v>0</v>
      </c>
      <c r="AD109" s="323">
        <f>AB109+AC109</f>
        <v>0</v>
      </c>
      <c r="AE109" s="323" t="s">
        <v>5</v>
      </c>
      <c r="AF109" s="323"/>
      <c r="AG109" s="323">
        <f>X107/1000</f>
        <v>0</v>
      </c>
      <c r="AH109" s="323"/>
      <c r="AI109" s="323" t="str">
        <f>'LCA data'!$B$65</f>
        <v>Indvendig beklædning</v>
      </c>
      <c r="AJ109" s="323">
        <f>VLOOKUP(E112,Pris.indvendig.beklædning[],2,0)*C112</f>
        <v>0</v>
      </c>
      <c r="AK109" s="323">
        <f>VLOOKUP(J112,Pris.indvendig.beklædning[],2,0)*C112</f>
        <v>0</v>
      </c>
      <c r="AL109" s="323"/>
      <c r="AM109" s="323"/>
      <c r="AN109" s="323">
        <f>IF(E109="Angiv ikke",0,((1+H109)*VLOOKUP(B109&amp;"_"&amp;E109,'LCA data'!$B$7:$X$360,20,FALSE)*(F109*10^3)*C109))</f>
        <v>0</v>
      </c>
      <c r="AO109" s="323">
        <f>IF(J109="Angiv ikke",0,((1+M109)*VLOOKUP(B109&amp;"_"&amp;J109,'LCA data'!$B$7:$X$360,20,FALSE)*(K109*10^3)*C109))</f>
        <v>0</v>
      </c>
      <c r="AP109" s="323"/>
      <c r="AQ109" s="323"/>
      <c r="AR109" s="323">
        <f>IF(E109="Angiv ikke",0,((1+H109)*VLOOKUP(B109&amp;"_"&amp;E109,'LCA data'!$B$7:$AA$360,26,FALSE)*(F109*10^3)*C109))</f>
        <v>0</v>
      </c>
      <c r="AS109" s="323">
        <f>IF(J109="Angiv ikke",0,((1+M109)*VLOOKUP(B109&amp;"_"&amp;J109,'LCA data'!$B$7:$AA$360,26,FALSE)*(K109*10^3)*C109))</f>
        <v>0</v>
      </c>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c r="BN109" s="323"/>
      <c r="BO109" s="323"/>
      <c r="BP109" s="323"/>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c r="CL109" s="323"/>
      <c r="CM109" s="323"/>
      <c r="CN109" s="323"/>
      <c r="CO109" s="323"/>
      <c r="CP109" s="439"/>
      <c r="CQ109" s="440"/>
      <c r="CR109" s="323"/>
      <c r="CS109" s="323"/>
      <c r="CT109" s="323"/>
      <c r="CU109" s="323"/>
      <c r="CV109" s="323"/>
      <c r="CW109" s="323"/>
      <c r="CX109" s="323"/>
      <c r="CY109" s="323"/>
      <c r="CZ109" s="323"/>
      <c r="EK109" s="1070"/>
      <c r="EL109" s="1070"/>
      <c r="EM109" s="1070"/>
      <c r="EN109" s="1070"/>
      <c r="EO109" s="1070"/>
      <c r="EP109" s="1070"/>
      <c r="EQ109" s="1070"/>
    </row>
    <row r="110" spans="2:222" ht="40.4" hidden="1" customHeight="1" outlineLevel="1" thickBot="1" x14ac:dyDescent="0.4">
      <c r="B110" s="208" t="str">
        <f>'LCA data'!$B$32</f>
        <v>Isolering</v>
      </c>
      <c r="C110" s="465">
        <f t="shared" si="10"/>
        <v>0</v>
      </c>
      <c r="D110" s="169" t="s">
        <v>103</v>
      </c>
      <c r="E110" s="342" t="str">
        <f>IF(D107=$D$82,D110,VLOOKUP(B110,Auto_Ydervæg[],VLOOKUP(D107,Type_Tung_Middel_Let[],2,0),0))</f>
        <v>Angiv ikke</v>
      </c>
      <c r="F110" s="172">
        <v>0.3</v>
      </c>
      <c r="G110" s="478" t="str">
        <f>VLOOKUP(E110,Isoleringsmateriale[],2,0)</f>
        <v>?</v>
      </c>
      <c r="H110" s="351" t="str">
        <f>IFERROR(IF(VLOOKUP(B110&amp;"_"&amp;E110,'LCA data'!$B$7:$X$200,2,FALSE)&lt;$Y$24,1,0)+IF(VLOOKUP(B110&amp;"_"&amp;E110,'LCA data'!$B$7:$X$200,2,FALSE)*2&lt;$Y$24,1,0),"")</f>
        <v/>
      </c>
      <c r="I110" s="169" t="s">
        <v>103</v>
      </c>
      <c r="J110" s="342" t="str">
        <f>IF(I107=$D$82,I110,VLOOKUP(B110,Auto_Ydervæg[],VLOOKUP(I107,Type_Tung_Middel_Let[],2,0),0))</f>
        <v>Angiv ikke</v>
      </c>
      <c r="K110" s="172">
        <v>0.3</v>
      </c>
      <c r="L110" s="478" t="str">
        <f>VLOOKUP(J110,Isoleringsmateriale[],2,0)</f>
        <v>?</v>
      </c>
      <c r="M110" s="515" t="str">
        <f>IFERROR(IF(VLOOKUP(B110&amp;"_"&amp;J110,'LCA data'!$B$7:$X$200,2,FALSE)&lt;$Y$24,1,0)+IF(VLOOKUP(B110&amp;"_"&amp;J110,'LCA data'!$B$7:$X$200,2,FALSE)*2&lt;$Y$24,1,0),"")</f>
        <v/>
      </c>
      <c r="N110" s="206">
        <f>IFERROR(W110/1000,0)</f>
        <v>0</v>
      </c>
      <c r="O110" s="878"/>
      <c r="P110" s="207">
        <f>IFERROR(X110/1000,0)</f>
        <v>0</v>
      </c>
      <c r="Q110" s="889"/>
      <c r="R110" s="192"/>
      <c r="S110" s="196"/>
      <c r="V110" s="251"/>
      <c r="W110" s="323">
        <f>IFERROR(IF(E110="Angiv ikke",0,((1+H110)*VLOOKUP(B110&amp;"_"&amp;E110,'LCA data'!$B$7:$X$360,19,FALSE)*(F110*10^3)*C110)),"0")</f>
        <v>0</v>
      </c>
      <c r="X110" s="323">
        <f>IFERROR(IF(J110="Angiv ikke",0,((1+M110)*VLOOKUP(B110&amp;"_"&amp;J110,'LCA data'!$B$7:$X$360,19,FALSE)*(K110*10^3)*C110)),"0")</f>
        <v>0</v>
      </c>
      <c r="Y110" s="323">
        <f>IF(G110="_",0,Varmetab!H70*$J$21*$Y$24)</f>
        <v>0</v>
      </c>
      <c r="Z110" s="323">
        <f>IF(L110="_",0,Varmetab!I70*$J$21*$Y$24)</f>
        <v>0</v>
      </c>
      <c r="AA110" s="323"/>
      <c r="AB110" s="323"/>
      <c r="AC110" s="323"/>
      <c r="AD110" s="323"/>
      <c r="AE110" s="323"/>
      <c r="AF110" s="323"/>
      <c r="AG110" s="323"/>
      <c r="AH110" s="323"/>
      <c r="AI110" s="323" t="s">
        <v>743</v>
      </c>
      <c r="AJ110" s="323">
        <f>SUM(AJ105:AJ109)</f>
        <v>0</v>
      </c>
      <c r="AK110" s="323">
        <f>SUM(AK105:AK109)</f>
        <v>0</v>
      </c>
      <c r="AL110" s="323"/>
      <c r="AM110" s="323"/>
      <c r="AN110" s="323">
        <f>IF(E110="Angiv ikke",0,((1+H110)*VLOOKUP(B110&amp;"_"&amp;E110,'LCA data'!$B$7:$X$360,20,FALSE)*(F110*10^3)*C110))</f>
        <v>0</v>
      </c>
      <c r="AO110" s="323">
        <f>IF(J110="Angiv ikke",0,((1+M110)*VLOOKUP(B110&amp;"_"&amp;J110,'LCA data'!$B$7:$X$360,20,FALSE)*(K110*10^3)*C110))</f>
        <v>0</v>
      </c>
      <c r="AP110" s="323"/>
      <c r="AQ110" s="323"/>
      <c r="AR110" s="323">
        <f>IF(E110="Angiv ikke",0,((1+H110)*VLOOKUP(B110&amp;"_"&amp;E110,'LCA data'!$B$7:$AA$360,26,FALSE)*(F110*10^3)*C110))</f>
        <v>0</v>
      </c>
      <c r="AS110" s="323">
        <f>IF(J110="Angiv ikke",0,((1+M110)*VLOOKUP(B110&amp;"_"&amp;J110,'LCA data'!$B$7:$AA$360,26,FALSE)*(K110*10^3)*C110))</f>
        <v>0</v>
      </c>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3"/>
      <c r="BP110" s="323"/>
      <c r="BQ110" s="323"/>
      <c r="BR110" s="323"/>
      <c r="BS110" s="323"/>
      <c r="BT110" s="323"/>
      <c r="BU110" s="323"/>
      <c r="BV110" s="323"/>
      <c r="BW110" s="323"/>
      <c r="BX110" s="323"/>
      <c r="BY110" s="323"/>
      <c r="BZ110" s="323"/>
      <c r="CA110" s="323"/>
      <c r="CB110" s="323"/>
      <c r="CC110" s="323"/>
      <c r="CD110" s="323"/>
      <c r="CE110" s="323"/>
      <c r="CF110" s="323"/>
      <c r="CG110" s="323"/>
      <c r="CH110" s="323"/>
      <c r="CI110" s="323"/>
      <c r="CJ110" s="323"/>
      <c r="CK110" s="323"/>
      <c r="CL110" s="323"/>
      <c r="CM110" s="323"/>
      <c r="CN110" s="323"/>
      <c r="CO110" s="323"/>
      <c r="CP110" s="428"/>
      <c r="CQ110" s="441"/>
      <c r="CR110" s="323"/>
      <c r="CS110" s="323"/>
      <c r="CT110" s="323"/>
      <c r="CU110" s="323"/>
      <c r="CV110" s="323"/>
      <c r="CW110" s="323"/>
      <c r="CX110" s="323"/>
      <c r="CY110" s="323"/>
      <c r="CZ110" s="323"/>
      <c r="EK110" s="1070"/>
      <c r="EL110" s="1070"/>
      <c r="EM110" s="1070"/>
      <c r="EN110" s="1070"/>
      <c r="EO110" s="1070"/>
      <c r="EP110" s="1070"/>
      <c r="EQ110" s="1070"/>
    </row>
    <row r="111" spans="2:222" ht="40.4" hidden="1" customHeight="1" outlineLevel="1" x14ac:dyDescent="0.35">
      <c r="B111" s="205" t="str">
        <f>'LCA data'!$B$52</f>
        <v>Indvendig konstruktion</v>
      </c>
      <c r="C111" s="465">
        <f t="shared" si="10"/>
        <v>0</v>
      </c>
      <c r="D111" s="16" t="s">
        <v>103</v>
      </c>
      <c r="E111" s="342" t="str">
        <f>IF(D107=$D$82,D111,VLOOKUP(B111,Auto_Ydervæg[],VLOOKUP(D107,Type_Tung_Middel_Let[],2,0),0))</f>
        <v>Angiv ikke</v>
      </c>
      <c r="F111" s="299">
        <f>IF(OR(E111="Stålskelet",E111="Træskelet"),F110,(VLOOKUP(E111,Pris.indvendig.konstruktion[],4,0)/1000))</f>
        <v>0</v>
      </c>
      <c r="G111" s="350"/>
      <c r="H111" s="351" t="str">
        <f>IFERROR(IF(VLOOKUP(B111&amp;"_"&amp;E111,'LCA data'!$B$7:$X$200,2,FALSE)&lt;$Y$24,1,0)+IF(VLOOKUP(B111&amp;"_"&amp;E111,'LCA data'!$B$7:$X$200,2,FALSE)*2&lt;$Y$24,1,0),"")</f>
        <v/>
      </c>
      <c r="I111" s="16" t="s">
        <v>103</v>
      </c>
      <c r="J111" s="342" t="str">
        <f>IF(I107=$D$82,I111,VLOOKUP(B111,Auto_Ydervæg[],VLOOKUP(I107,Type_Tung_Middel_Let[],2,0),0))</f>
        <v>Angiv ikke</v>
      </c>
      <c r="K111" s="299">
        <f>IF(OR(J111="Stålskelet",J111="Træskelet"),K110,(VLOOKUP(J111,Pris.indvendig.konstruktion[],4,0)/1000))</f>
        <v>0</v>
      </c>
      <c r="L111" s="514"/>
      <c r="M111" s="515" t="str">
        <f>IFERROR(IF(VLOOKUP(B111&amp;"_"&amp;J111,'LCA data'!$B$7:$X$200,2,FALSE)&lt;$Y$24,1,0)+IF(VLOOKUP(B111&amp;"_"&amp;J111,'LCA data'!$B$7:$X$200,2,FALSE)*2&lt;$Y$24,1,0),"")</f>
        <v/>
      </c>
      <c r="N111" s="206">
        <f>W111/1000</f>
        <v>0</v>
      </c>
      <c r="O111" s="878"/>
      <c r="P111" s="207">
        <f>X111/1000</f>
        <v>0</v>
      </c>
      <c r="Q111" s="889"/>
      <c r="R111" s="192"/>
      <c r="S111" s="196"/>
      <c r="V111" s="251"/>
      <c r="W111" s="323">
        <f>IF(E111="Angiv ikke",0,((1+H111)*VLOOKUP(B111&amp;"_"&amp;E111,'LCA data'!$B$7:$X$360,19,FALSE)*(F111*10^3)*C111))</f>
        <v>0</v>
      </c>
      <c r="X111" s="323">
        <f>IF(J111="Angiv ikke",0,((1+M111)*VLOOKUP(B111&amp;"_"&amp;J111,'LCA data'!$B$7:$X$360,19,FALSE)*(K111*10^3)*C111))</f>
        <v>0</v>
      </c>
      <c r="Y111" s="323"/>
      <c r="Z111" s="323"/>
      <c r="AA111" s="323"/>
      <c r="AB111" s="323"/>
      <c r="AC111" s="323"/>
      <c r="AD111" s="323"/>
      <c r="AE111" s="323"/>
      <c r="AF111" s="323"/>
      <c r="AG111" s="323"/>
      <c r="AH111" s="323"/>
      <c r="AI111" s="323"/>
      <c r="AJ111" s="323"/>
      <c r="AK111" s="323"/>
      <c r="AL111" s="323"/>
      <c r="AM111" s="323"/>
      <c r="AN111" s="323">
        <f>IF(E111="Angiv ikke",0,((1+H111)*VLOOKUP(B111&amp;"_"&amp;E111,'LCA data'!$B$7:$X$360,20,FALSE)*(F111*10^3)*C111))</f>
        <v>0</v>
      </c>
      <c r="AO111" s="323">
        <f>IF(J111="Angiv ikke",0,((1+M111)*VLOOKUP(B111&amp;"_"&amp;J111,'LCA data'!$B$7:$X$360,20,FALSE)*(K111*10^3)*C111))</f>
        <v>0</v>
      </c>
      <c r="AP111" s="323"/>
      <c r="AQ111" s="323"/>
      <c r="AR111" s="323">
        <f>IF(E111="Angiv ikke",0,((1+H111)*VLOOKUP(B111&amp;"_"&amp;E111,'LCA data'!$B$7:$AA$360,26,FALSE)*(F111*10^3)*C111))</f>
        <v>0</v>
      </c>
      <c r="AS111" s="323">
        <f>IF(J111="Angiv ikke",0,((1+M111)*VLOOKUP(B111&amp;"_"&amp;J111,'LCA data'!$B$7:$AA$360,26,FALSE)*(K111*10^3)*C111))</f>
        <v>0</v>
      </c>
      <c r="AT111" s="323"/>
      <c r="AU111" s="323"/>
      <c r="AV111" s="323"/>
      <c r="AW111" s="323"/>
      <c r="AX111" s="323"/>
      <c r="AY111" s="323"/>
      <c r="AZ111" s="323"/>
      <c r="BA111" s="323"/>
      <c r="BB111" s="323"/>
      <c r="BC111" s="323"/>
      <c r="BD111" s="323"/>
      <c r="BE111" s="323"/>
      <c r="BF111" s="323"/>
      <c r="BG111" s="323"/>
      <c r="BH111" s="323"/>
      <c r="BI111" s="323"/>
      <c r="BJ111" s="323"/>
      <c r="BK111" s="323"/>
      <c r="BL111" s="323"/>
      <c r="BM111" s="323"/>
      <c r="BN111" s="323"/>
      <c r="BO111" s="323"/>
      <c r="BP111" s="323"/>
      <c r="BQ111" s="323"/>
      <c r="BR111" s="323"/>
      <c r="BS111" s="323"/>
      <c r="BT111" s="323"/>
      <c r="BU111" s="323"/>
      <c r="BV111" s="323"/>
      <c r="BW111" s="323"/>
      <c r="BX111" s="323"/>
      <c r="BY111" s="323"/>
      <c r="BZ111" s="323"/>
      <c r="CA111" s="323"/>
      <c r="CB111" s="323"/>
      <c r="CC111" s="323"/>
      <c r="CD111" s="323"/>
      <c r="CE111" s="323"/>
      <c r="CF111" s="323"/>
      <c r="CG111" s="323"/>
      <c r="CH111" s="323"/>
      <c r="CI111" s="323"/>
      <c r="CJ111" s="323"/>
      <c r="CK111" s="323"/>
      <c r="CL111" s="323"/>
      <c r="CM111" s="323"/>
      <c r="CN111" s="323"/>
      <c r="CO111" s="323"/>
      <c r="CP111" s="1144" t="s">
        <v>77</v>
      </c>
      <c r="CQ111" s="1145"/>
      <c r="CR111" s="323"/>
      <c r="CS111" s="323"/>
      <c r="CT111" s="323"/>
      <c r="CU111" s="323"/>
      <c r="CV111" s="323"/>
      <c r="CW111" s="323"/>
      <c r="CX111" s="323"/>
      <c r="CY111" s="323"/>
      <c r="CZ111" s="323"/>
      <c r="EK111" s="1070"/>
      <c r="EL111" s="1070"/>
      <c r="EM111" s="1070"/>
      <c r="EN111" s="1070"/>
      <c r="EO111" s="1070"/>
      <c r="EP111" s="1070"/>
      <c r="EQ111" s="1070"/>
    </row>
    <row r="112" spans="2:222" ht="40.4" hidden="1" customHeight="1" outlineLevel="1" thickBot="1" x14ac:dyDescent="0.4">
      <c r="B112" s="209" t="str">
        <f>'LCA data'!$B$65</f>
        <v>Indvendig beklædning</v>
      </c>
      <c r="C112" s="464">
        <f t="shared" si="10"/>
        <v>0</v>
      </c>
      <c r="D112" s="171" t="s">
        <v>103</v>
      </c>
      <c r="E112" s="344" t="str">
        <f>IF(D107=$D$82,D112,VLOOKUP(B112,Auto_Ydervæg[],VLOOKUP(D107,Type_Tung_Middel_Let[],2,0),0))</f>
        <v>Angiv ikke</v>
      </c>
      <c r="F112" s="459">
        <f>(VLOOKUP(E112,Pris.indvendig.beklædning[],4,0))/1000</f>
        <v>0</v>
      </c>
      <c r="G112" s="354"/>
      <c r="H112" s="355" t="str">
        <f>IFERROR(IF(VLOOKUP(B112&amp;"_"&amp;E112,'LCA data'!$B$7:$X$200,2,FALSE)&lt;$Y$24,1,0)+IF(VLOOKUP(B112&amp;"_"&amp;E112,'LCA data'!$B$7:$X$200,2,FALSE)*2&lt;$Y$24,1,0),"")</f>
        <v/>
      </c>
      <c r="I112" s="171" t="s">
        <v>103</v>
      </c>
      <c r="J112" s="344" t="str">
        <f>IF(I107=$D$82,I112,VLOOKUP(B112,Auto_Ydervæg[],VLOOKUP(I107,Type_Tung_Middel_Let[],2,0),0))</f>
        <v>Angiv ikke</v>
      </c>
      <c r="K112" s="518">
        <f>(VLOOKUP(J112,Pris.indvendig.beklædning[],4,0))/1000</f>
        <v>0</v>
      </c>
      <c r="L112" s="519"/>
      <c r="M112" s="520" t="str">
        <f>IFERROR(IF(VLOOKUP(B112&amp;"_"&amp;J112,'LCA data'!$B$7:$X$200,2,FALSE)&lt;$Y$24,1,0)+IF(VLOOKUP(B112&amp;"_"&amp;J112,'LCA data'!$B$7:$X$200,2,FALSE)*2&lt;$Y$24,1,0),"")</f>
        <v/>
      </c>
      <c r="N112" s="210">
        <f>W112/1000</f>
        <v>0</v>
      </c>
      <c r="O112" s="879"/>
      <c r="P112" s="211">
        <f>X112/1000</f>
        <v>0</v>
      </c>
      <c r="Q112" s="890"/>
      <c r="R112" s="212"/>
      <c r="S112" s="213"/>
      <c r="V112" s="251"/>
      <c r="W112" s="323">
        <f>IF(E112="Angiv ikke",0,((1+H112)*VLOOKUP(B112&amp;"_"&amp;E112,'LCA data'!$B$7:$X$360,19,FALSE)*(F112*10^3)*C112))</f>
        <v>0</v>
      </c>
      <c r="X112" s="323">
        <f>IF(J112="Angiv ikke",0,((1+M112)*VLOOKUP(B112&amp;"_"&amp;J112,'LCA data'!$B$7:$X$360,19,FALSE)*(K112*10^3)*C112))</f>
        <v>0</v>
      </c>
      <c r="Y112" s="323"/>
      <c r="Z112" s="323"/>
      <c r="AA112" s="323"/>
      <c r="AB112" s="323"/>
      <c r="AC112" s="323"/>
      <c r="AD112" s="323"/>
      <c r="AE112" s="323"/>
      <c r="AF112" s="323"/>
      <c r="AG112" s="323"/>
      <c r="AH112" s="323"/>
      <c r="AI112" s="323"/>
      <c r="AJ112" s="323"/>
      <c r="AK112" s="323"/>
      <c r="AL112" s="323"/>
      <c r="AM112" s="323"/>
      <c r="AN112" s="323">
        <f>IF(E112="Angiv ikke",0,((1+H112)*VLOOKUP(B112&amp;"_"&amp;E112,'LCA data'!$B$7:$X$360,20,FALSE)*(F112*10^3)*C112))</f>
        <v>0</v>
      </c>
      <c r="AO112" s="323">
        <f>IF(J112="Angiv ikke",0,((1+M112)*VLOOKUP(B112&amp;"_"&amp;J112,'LCA data'!$B$7:$X$360,20,FALSE)*(K112*10^3)*C112))</f>
        <v>0</v>
      </c>
      <c r="AP112" s="323"/>
      <c r="AQ112" s="323"/>
      <c r="AR112" s="323">
        <f>IF(E112="Angiv ikke",0,((1+H112)*VLOOKUP(B112&amp;"_"&amp;E112,'LCA data'!$B$7:$AA$360,26,FALSE)*(F112*10^3)*C112))</f>
        <v>0</v>
      </c>
      <c r="AS112" s="323">
        <f>IF(J112="Angiv ikke",0,((1+M112)*VLOOKUP(B112&amp;"_"&amp;J112,'LCA data'!$B$7:$AA$360,26,FALSE)*(K112*10^3)*C112))</f>
        <v>0</v>
      </c>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A112" s="323"/>
      <c r="CB112" s="323"/>
      <c r="CC112" s="323"/>
      <c r="CD112" s="323"/>
      <c r="CE112" s="323"/>
      <c r="CF112" s="323"/>
      <c r="CG112" s="323"/>
      <c r="CH112" s="323"/>
      <c r="CI112" s="323"/>
      <c r="CJ112" s="323"/>
      <c r="CK112" s="323"/>
      <c r="CL112" s="323"/>
      <c r="CM112" s="323"/>
      <c r="CN112" s="323"/>
      <c r="CO112" s="323"/>
      <c r="CP112" s="431"/>
      <c r="CQ112" s="432"/>
      <c r="CR112" s="323"/>
      <c r="CS112" s="323"/>
      <c r="CT112" s="323"/>
      <c r="CU112" s="323"/>
      <c r="CV112" s="323"/>
      <c r="CW112" s="323"/>
      <c r="CX112" s="323"/>
      <c r="CY112" s="323"/>
      <c r="CZ112" s="323"/>
      <c r="EK112" s="1070"/>
      <c r="EL112" s="1070"/>
      <c r="EM112" s="1070"/>
      <c r="EN112" s="1070"/>
      <c r="EO112" s="1070"/>
      <c r="EP112" s="1070"/>
      <c r="EQ112" s="1070"/>
    </row>
    <row r="113" spans="2:222" ht="13.5" hidden="1" customHeight="1" outlineLevel="1" x14ac:dyDescent="0.35">
      <c r="B113" s="173" t="s">
        <v>110</v>
      </c>
      <c r="N113" s="218"/>
      <c r="P113" s="216"/>
      <c r="R113" s="217"/>
      <c r="V113" s="251"/>
      <c r="W113" s="323"/>
      <c r="X113" s="323"/>
      <c r="Y113" s="323"/>
      <c r="Z113" s="323"/>
      <c r="AA113" s="323"/>
      <c r="AB113" s="323"/>
      <c r="AC113" s="323"/>
      <c r="AD113" s="323"/>
      <c r="AE113" s="323"/>
      <c r="AF113" s="323"/>
      <c r="AG113" s="323"/>
      <c r="AH113" s="323"/>
      <c r="AI113" s="323" t="str">
        <f>IFERROR(VLOOKUP(B113&amp;"_"&amp;J113,'LCA data'!$B$7:$X$200,19,FALSE)*(K113*10^3)*C113,"")</f>
        <v/>
      </c>
      <c r="AJ113" s="323" t="str">
        <f>IFERROR(VLOOKUP($B113&amp;"_"&amp;J113,'LCA data'!$B$7:$X$238,2,FALSE),"")</f>
        <v/>
      </c>
      <c r="AK113" s="323" t="str">
        <f>IFERROR(IF(M113&gt;0,VLOOKUP(B113&amp;"_"&amp;J113,'LCA data'!$B$7:$X$200,19,FALSE)*(K113*10^3)*C113,""),"")</f>
        <v/>
      </c>
      <c r="AL113" s="323" t="str">
        <f>IFERROR(AJ113+VLOOKUP(B113&amp;"_"&amp;J113,'LCA data'!$B$7:$X$238,2,FALSE),"")</f>
        <v/>
      </c>
      <c r="AM113" s="323" t="str">
        <f>IFERROR(IF(M113-1&gt;0,VLOOKUP(B113&amp;"_"&amp;J113,'LCA data'!$B$7:$X$200,19,FALSE)*(K113*10^3)*C113,""),"")</f>
        <v/>
      </c>
      <c r="AN113" s="323" t="str">
        <f>IFERROR(AL113+VLOOKUP(B113&amp;"_"&amp;J113,'LCA data'!$B$7:$X$238,2,FALSE),"")</f>
        <v/>
      </c>
      <c r="AO113" s="323" t="str">
        <f>IFERROR(IF(M113-2&gt;0,VLOOKUP(B113&amp;"_"&amp;J113,'LCA data'!$B$7:$X$200,19,FALSE)*(K113*10^3)*C113,""),"")</f>
        <v/>
      </c>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c r="BM113" s="323"/>
      <c r="BN113" s="323"/>
      <c r="BO113" s="323"/>
      <c r="BP113" s="323"/>
      <c r="BQ113" s="323"/>
      <c r="BR113" s="323"/>
      <c r="BS113" s="323"/>
      <c r="BT113" s="323"/>
      <c r="BU113" s="323"/>
      <c r="BV113" s="323"/>
      <c r="BW113" s="323"/>
      <c r="BX113" s="323"/>
      <c r="BY113" s="323"/>
      <c r="BZ113" s="323"/>
      <c r="CA113" s="323"/>
      <c r="CB113" s="323"/>
      <c r="CC113" s="323"/>
      <c r="CD113" s="323"/>
      <c r="CE113" s="323"/>
      <c r="CF113" s="323"/>
      <c r="CG113" s="323"/>
      <c r="CH113" s="323"/>
      <c r="CI113" s="323"/>
      <c r="CJ113" s="323"/>
      <c r="CK113" s="323"/>
      <c r="CL113" s="323"/>
      <c r="CM113" s="323"/>
      <c r="CN113" s="323"/>
      <c r="CO113" s="323"/>
      <c r="CP113" s="431"/>
      <c r="CQ113" s="433"/>
      <c r="CR113" s="323"/>
      <c r="CS113" s="323"/>
      <c r="CT113" s="323"/>
      <c r="CU113" s="323"/>
      <c r="CV113" s="323"/>
      <c r="CW113" s="323"/>
      <c r="CX113" s="323"/>
      <c r="CY113" s="323"/>
      <c r="CZ113" s="323"/>
      <c r="EK113" s="1070"/>
      <c r="EL113" s="1070"/>
      <c r="EM113" s="1070"/>
      <c r="EN113" s="1070"/>
      <c r="EO113" s="1070"/>
      <c r="EP113" s="1070"/>
      <c r="EQ113" s="1070"/>
    </row>
    <row r="114" spans="2:222" ht="18.649999999999999" customHeight="1" collapsed="1" x14ac:dyDescent="0.45">
      <c r="B114" s="550"/>
      <c r="C114" s="551"/>
      <c r="D114" s="542"/>
      <c r="E114" s="552"/>
      <c r="F114" s="552"/>
      <c r="G114" s="552"/>
      <c r="H114" s="552"/>
      <c r="I114" s="542"/>
      <c r="J114" s="552"/>
      <c r="K114" s="552"/>
      <c r="L114" s="552"/>
      <c r="M114" s="552"/>
      <c r="N114" s="223"/>
      <c r="O114" s="223"/>
      <c r="P114" s="223"/>
      <c r="Q114" s="220"/>
      <c r="S114" s="217"/>
      <c r="V114" s="251"/>
      <c r="W114" s="323"/>
      <c r="X114" s="323"/>
      <c r="Y114" s="323"/>
      <c r="Z114" s="323"/>
      <c r="AA114" s="323"/>
      <c r="AB114" s="323"/>
      <c r="AC114" s="323"/>
      <c r="AD114" s="323"/>
      <c r="AE114" s="323"/>
      <c r="AF114" s="323"/>
      <c r="AG114" s="323"/>
      <c r="AH114" s="323"/>
      <c r="AI114" s="323" t="str">
        <f>IFERROR(VLOOKUP(B114&amp;"_"&amp;J114,'LCA data'!$B$7:$X$200,19,FALSE)*(K114*10^3)*C114,"")</f>
        <v/>
      </c>
      <c r="AJ114" s="323" t="str">
        <f>IFERROR(VLOOKUP($B114&amp;"_"&amp;J114,'LCA data'!$B$7:$X$238,2,FALSE),"")</f>
        <v/>
      </c>
      <c r="AK114" s="323" t="str">
        <f>IFERROR(IF(M114&gt;0,VLOOKUP(B114&amp;"_"&amp;J114,'LCA data'!$B$7:$X$200,19,FALSE)*(K114*10^3)*C114,""),"")</f>
        <v/>
      </c>
      <c r="AL114" s="323" t="str">
        <f>IFERROR(AJ114+VLOOKUP(B114&amp;"_"&amp;J114,'LCA data'!$B$7:$X$238,2,FALSE),"")</f>
        <v/>
      </c>
      <c r="AM114" s="323" t="str">
        <f>IFERROR(IF(M114-1&gt;0,VLOOKUP(B114&amp;"_"&amp;J114,'LCA data'!$B$7:$X$200,19,FALSE)*(K114*10^3)*C114,""),"")</f>
        <v/>
      </c>
      <c r="AN114" s="323" t="str">
        <f>IFERROR(AL114+VLOOKUP(B114&amp;"_"&amp;J114,'LCA data'!$B$7:$X$238,2,FALSE),"")</f>
        <v/>
      </c>
      <c r="AO114" s="323" t="str">
        <f>IFERROR(IF(M114-2&gt;0,VLOOKUP(B114&amp;"_"&amp;J114,'LCA data'!$B$7:$X$200,19,FALSE)*(K114*10^3)*C114,""),"")</f>
        <v/>
      </c>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M114" s="323"/>
      <c r="BN114" s="323"/>
      <c r="BO114" s="323"/>
      <c r="BP114" s="323"/>
      <c r="BQ114" s="323"/>
      <c r="BR114" s="323"/>
      <c r="BS114" s="323"/>
      <c r="BT114" s="323"/>
      <c r="BU114" s="323"/>
      <c r="BV114" s="323"/>
      <c r="BW114" s="323"/>
      <c r="BX114" s="323"/>
      <c r="BY114" s="323"/>
      <c r="BZ114" s="323"/>
      <c r="CA114" s="323"/>
      <c r="CB114" s="323"/>
      <c r="CC114" s="323"/>
      <c r="CD114" s="323"/>
      <c r="CE114" s="323"/>
      <c r="CF114" s="323"/>
      <c r="CG114" s="323"/>
      <c r="CH114" s="323"/>
      <c r="CI114" s="323"/>
      <c r="CJ114" s="323"/>
      <c r="CK114" s="323"/>
      <c r="CL114" s="323"/>
      <c r="CM114" s="323"/>
      <c r="CN114" s="323"/>
      <c r="CO114" s="323"/>
      <c r="CP114" s="431"/>
      <c r="CQ114" s="434"/>
      <c r="CR114" s="323"/>
      <c r="CS114" s="323"/>
      <c r="CT114" s="323"/>
      <c r="CU114" s="323"/>
      <c r="CV114" s="323"/>
      <c r="CW114" s="323"/>
      <c r="CX114" s="323"/>
      <c r="CY114" s="323"/>
      <c r="CZ114" s="323"/>
      <c r="EK114" s="1070"/>
      <c r="EL114" s="1070"/>
      <c r="EM114" s="1070"/>
      <c r="EN114" s="1070"/>
      <c r="EO114" s="1070"/>
      <c r="EP114" s="1070"/>
      <c r="EQ114" s="1070"/>
    </row>
    <row r="115" spans="2:222" ht="31.5" hidden="1" customHeight="1" outlineLevel="1" x14ac:dyDescent="0.35">
      <c r="B115" s="492" t="s">
        <v>112</v>
      </c>
      <c r="C115" s="499"/>
      <c r="D115" s="499"/>
      <c r="E115" s="506" t="s">
        <v>76</v>
      </c>
      <c r="F115" s="499"/>
      <c r="G115" s="499"/>
      <c r="H115" s="499"/>
      <c r="I115" s="500" t="str">
        <f>"Ydervæg"&amp;" "&amp;5</f>
        <v>Ydervæg 5</v>
      </c>
      <c r="J115" s="500"/>
      <c r="K115" s="499"/>
      <c r="L115" s="499"/>
      <c r="M115" s="499"/>
      <c r="N115" s="499"/>
      <c r="O115" s="499"/>
      <c r="P115" s="499"/>
      <c r="Q115" s="501"/>
      <c r="R115" s="190"/>
      <c r="S115" s="191"/>
      <c r="V115" s="251"/>
      <c r="W115" s="323">
        <f>IF(D118=$D$82,1,0)</f>
        <v>1</v>
      </c>
      <c r="X115" s="323">
        <f>IF(I118=$D$82,1,0)</f>
        <v>1</v>
      </c>
      <c r="Y115" s="323"/>
      <c r="Z115" s="323"/>
      <c r="AA115" s="323"/>
      <c r="AB115" s="323"/>
      <c r="AC115" s="323"/>
      <c r="AD115" s="323"/>
      <c r="AE115" s="323"/>
      <c r="AF115" s="323"/>
      <c r="AG115" s="323"/>
      <c r="AH115" s="323"/>
      <c r="AI115" s="323"/>
      <c r="AJ115" s="323" t="s">
        <v>746</v>
      </c>
      <c r="AK115" s="323" t="s">
        <v>747</v>
      </c>
      <c r="AL115" s="323" t="str">
        <f>IFERROR(AJ115+VLOOKUP(E115&amp;"_"&amp;J115,'LCA data'!$B$7:$X$238,2,FALSE),"")</f>
        <v/>
      </c>
      <c r="AM115" s="323" t="str">
        <f>IFERROR(IF(M115-1&gt;0,VLOOKUP(E115&amp;"_"&amp;J115,'LCA data'!$B$7:$X$200,19,FALSE)*(K115*10^3)*C115,""),"")</f>
        <v/>
      </c>
      <c r="AN115" s="323" t="s">
        <v>846</v>
      </c>
      <c r="AO115" s="323"/>
      <c r="AP115" s="323"/>
      <c r="AQ115" s="323"/>
      <c r="AR115" s="323" t="s">
        <v>851</v>
      </c>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c r="BM115" s="323"/>
      <c r="BN115" s="323"/>
      <c r="BO115" s="323"/>
      <c r="BP115" s="323"/>
      <c r="BQ115" s="323"/>
      <c r="BR115" s="323"/>
      <c r="BS115" s="323"/>
      <c r="BT115" s="323"/>
      <c r="BU115" s="323"/>
      <c r="BV115" s="323"/>
      <c r="BW115" s="323"/>
      <c r="BX115" s="323"/>
      <c r="BY115" s="323"/>
      <c r="BZ115" s="323"/>
      <c r="CA115" s="323"/>
      <c r="CB115" s="323"/>
      <c r="CC115" s="323"/>
      <c r="CD115" s="323"/>
      <c r="CE115" s="323"/>
      <c r="CF115" s="323"/>
      <c r="CG115" s="323"/>
      <c r="CH115" s="323"/>
      <c r="CI115" s="323"/>
      <c r="CJ115" s="323"/>
      <c r="CK115" s="323"/>
      <c r="CL115" s="323"/>
      <c r="CM115" s="323"/>
      <c r="CN115" s="323"/>
      <c r="CO115" s="323"/>
      <c r="CP115" s="431"/>
      <c r="CQ115" s="433"/>
      <c r="CR115" s="323"/>
      <c r="CS115" s="323"/>
      <c r="CT115" s="323"/>
      <c r="CU115" s="323"/>
      <c r="CV115" s="323"/>
      <c r="CW115" s="323"/>
      <c r="CX115" s="323"/>
      <c r="CY115" s="323"/>
      <c r="CZ115" s="323"/>
      <c r="EK115" s="1070"/>
      <c r="EL115" s="1070"/>
      <c r="EM115" s="1070"/>
      <c r="EN115" s="1070"/>
      <c r="EO115" s="1070"/>
      <c r="EP115" s="1070"/>
      <c r="EQ115" s="1070"/>
    </row>
    <row r="116" spans="2:222" ht="40.4" hidden="1" customHeight="1" outlineLevel="1" x14ac:dyDescent="0.35">
      <c r="B116" s="359" t="s">
        <v>78</v>
      </c>
      <c r="C116" s="195" t="s">
        <v>80</v>
      </c>
      <c r="D116" s="910" t="s">
        <v>4</v>
      </c>
      <c r="E116" s="911"/>
      <c r="F116" s="911"/>
      <c r="G116" s="911"/>
      <c r="H116" s="912"/>
      <c r="I116" s="885" t="s">
        <v>5</v>
      </c>
      <c r="J116" s="886"/>
      <c r="K116" s="886"/>
      <c r="L116" s="886"/>
      <c r="M116" s="887"/>
      <c r="N116" s="877" t="s">
        <v>79</v>
      </c>
      <c r="O116" s="877"/>
      <c r="P116" s="877"/>
      <c r="Q116" s="881"/>
      <c r="R116" s="192"/>
      <c r="S116" s="193"/>
      <c r="T116" s="175"/>
      <c r="V116" s="251"/>
      <c r="W116" s="323"/>
      <c r="X116" s="323"/>
      <c r="Y116" s="323"/>
      <c r="Z116" s="323"/>
      <c r="AA116" s="323"/>
      <c r="AB116" s="323"/>
      <c r="AC116" s="323"/>
      <c r="AD116" s="323"/>
      <c r="AE116" s="323"/>
      <c r="AF116" s="323"/>
      <c r="AG116" s="323"/>
      <c r="AH116" s="323"/>
      <c r="AI116" s="323" t="str">
        <f>'LCA data'!$B$8</f>
        <v>Udvendig beklædning</v>
      </c>
      <c r="AJ116" s="323">
        <f>VLOOKUP(E119,Pris.udvendig.beklædning[],2,0)*C119</f>
        <v>0</v>
      </c>
      <c r="AK116" s="323">
        <f>VLOOKUP(J119,Pris.udvendig.beklædning[],2,0)*C119</f>
        <v>0</v>
      </c>
      <c r="AL116" s="323" t="str">
        <f>IFERROR(AJ116+VLOOKUP(B116&amp;"_"&amp;I116,'LCA data'!$B$7:$X$238,2,FALSE),"")</f>
        <v/>
      </c>
      <c r="AM116" s="323" t="str">
        <f>IFERROR(IF(M116-1&gt;0,VLOOKUP(B116&amp;"_"&amp;I116,'LCA data'!$B$7:$X$200,19,FALSE)*(K116*10^3)*C116,""),"")</f>
        <v/>
      </c>
      <c r="AN116" s="323" t="s">
        <v>4</v>
      </c>
      <c r="AO116" s="323" t="s">
        <v>5</v>
      </c>
      <c r="AP116" s="323"/>
      <c r="AQ116" s="323"/>
      <c r="AR116" s="323" t="s">
        <v>4</v>
      </c>
      <c r="AS116" s="323" t="s">
        <v>5</v>
      </c>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c r="BN116" s="323"/>
      <c r="BO116" s="323"/>
      <c r="BP116" s="323"/>
      <c r="BQ116" s="323"/>
      <c r="BR116" s="323"/>
      <c r="BS116" s="323"/>
      <c r="BT116" s="323"/>
      <c r="BU116" s="323"/>
      <c r="BV116" s="323"/>
      <c r="BW116" s="323"/>
      <c r="BX116" s="323"/>
      <c r="BY116" s="323"/>
      <c r="BZ116" s="323"/>
      <c r="CA116" s="323"/>
      <c r="CB116" s="323"/>
      <c r="CC116" s="323"/>
      <c r="CD116" s="323"/>
      <c r="CE116" s="323"/>
      <c r="CF116" s="323"/>
      <c r="CG116" s="323"/>
      <c r="CH116" s="323"/>
      <c r="CI116" s="323"/>
      <c r="CJ116" s="323"/>
      <c r="CK116" s="323"/>
      <c r="CL116" s="323"/>
      <c r="CM116" s="323"/>
      <c r="CN116" s="323"/>
      <c r="CO116" s="323"/>
      <c r="CP116" s="431"/>
      <c r="CQ116" s="433"/>
      <c r="CR116" s="323"/>
      <c r="CS116" s="323"/>
      <c r="CT116" s="323"/>
      <c r="CU116" s="323"/>
      <c r="CV116" s="323"/>
      <c r="CW116" s="323"/>
      <c r="CX116" s="323"/>
      <c r="CY116" s="323"/>
      <c r="CZ116" s="323"/>
      <c r="EK116" s="1070"/>
      <c r="EL116" s="1070"/>
      <c r="EM116" s="1070"/>
      <c r="EN116" s="1070"/>
      <c r="EO116" s="1070"/>
      <c r="EP116" s="1070"/>
      <c r="EQ116" s="1070"/>
    </row>
    <row r="117" spans="2:222" ht="40.4" hidden="1" customHeight="1" outlineLevel="1" x14ac:dyDescent="0.35">
      <c r="B117" s="194"/>
      <c r="C117" s="665">
        <v>0</v>
      </c>
      <c r="D117" s="908" t="s">
        <v>797</v>
      </c>
      <c r="E117" s="909"/>
      <c r="F117" s="338" t="s">
        <v>82</v>
      </c>
      <c r="G117" s="338" t="s">
        <v>83</v>
      </c>
      <c r="H117" s="346" t="s">
        <v>84</v>
      </c>
      <c r="I117" s="913" t="s">
        <v>797</v>
      </c>
      <c r="J117" s="914"/>
      <c r="K117" s="479" t="s">
        <v>82</v>
      </c>
      <c r="L117" s="479" t="s">
        <v>83</v>
      </c>
      <c r="M117" s="508" t="s">
        <v>84</v>
      </c>
      <c r="N117" s="195" t="s">
        <v>4</v>
      </c>
      <c r="O117" s="195" t="s">
        <v>85</v>
      </c>
      <c r="P117" s="195" t="s">
        <v>5</v>
      </c>
      <c r="Q117" s="357" t="s">
        <v>86</v>
      </c>
      <c r="R117" s="192"/>
      <c r="S117" s="196"/>
      <c r="V117" s="251"/>
      <c r="W117" s="323" t="s">
        <v>87</v>
      </c>
      <c r="X117" s="323" t="s">
        <v>88</v>
      </c>
      <c r="Y117" s="323" t="s">
        <v>89</v>
      </c>
      <c r="Z117" s="323" t="s">
        <v>90</v>
      </c>
      <c r="AA117" s="323" t="s">
        <v>91</v>
      </c>
      <c r="AB117" s="323"/>
      <c r="AC117" s="323"/>
      <c r="AD117" s="323"/>
      <c r="AE117" s="323" t="s">
        <v>92</v>
      </c>
      <c r="AF117" s="323"/>
      <c r="AG117" s="323"/>
      <c r="AH117" s="323"/>
      <c r="AI117" s="323" t="str">
        <f>'LCA data'!$B$25</f>
        <v>Udvendig konstruktion</v>
      </c>
      <c r="AJ117" s="323">
        <f>VLOOKUP(E120,Pris.udvendig.konstruktion[],2,0)*C120</f>
        <v>0</v>
      </c>
      <c r="AK117" s="323">
        <f>VLOOKUP(J120,Pris.udvendig.konstruktion[],2,0)*C120</f>
        <v>0</v>
      </c>
      <c r="AL117" s="323"/>
      <c r="AM117" s="323"/>
      <c r="AN117" s="323">
        <f>SUM(AN119:AN123)</f>
        <v>0</v>
      </c>
      <c r="AO117" s="323">
        <f>SUM(AO119:AO123)</f>
        <v>0</v>
      </c>
      <c r="AP117" s="323"/>
      <c r="AQ117" s="323"/>
      <c r="AR117" s="323">
        <f>SUM(AR119:AR122)</f>
        <v>0</v>
      </c>
      <c r="AS117" s="323">
        <f>SUM(AS119:AS122)</f>
        <v>0</v>
      </c>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c r="BN117" s="323"/>
      <c r="BO117" s="323"/>
      <c r="BP117" s="323"/>
      <c r="BQ117" s="323"/>
      <c r="BR117" s="323"/>
      <c r="BS117" s="323"/>
      <c r="BT117" s="323"/>
      <c r="BU117" s="323"/>
      <c r="BV117" s="323"/>
      <c r="BW117" s="323"/>
      <c r="BX117" s="323"/>
      <c r="BY117" s="323"/>
      <c r="BZ117" s="323"/>
      <c r="CA117" s="323"/>
      <c r="CB117" s="323"/>
      <c r="CC117" s="323"/>
      <c r="CD117" s="323"/>
      <c r="CE117" s="323"/>
      <c r="CF117" s="323"/>
      <c r="CG117" s="323"/>
      <c r="CH117" s="323"/>
      <c r="CI117" s="323"/>
      <c r="CJ117" s="323"/>
      <c r="CK117" s="323"/>
      <c r="CL117" s="323"/>
      <c r="CM117" s="323"/>
      <c r="CN117" s="323"/>
      <c r="CO117" s="323"/>
      <c r="CP117" s="435"/>
      <c r="CQ117" s="433"/>
      <c r="CR117" s="323"/>
      <c r="CS117" s="323"/>
      <c r="CT117" s="323"/>
      <c r="CU117" s="323"/>
      <c r="CV117" s="323"/>
      <c r="CW117" s="323"/>
      <c r="CX117" s="323"/>
      <c r="CY117" s="323"/>
      <c r="CZ117" s="323"/>
      <c r="EK117" s="1070"/>
      <c r="EL117" s="1070"/>
      <c r="EM117" s="1070"/>
      <c r="EN117" s="1070"/>
      <c r="EO117" s="1070"/>
      <c r="EP117" s="1070"/>
      <c r="EQ117" s="1070"/>
    </row>
    <row r="118" spans="2:222" s="198" customFormat="1" ht="26" hidden="1" customHeight="1" outlineLevel="1" x14ac:dyDescent="0.35">
      <c r="B118" s="199"/>
      <c r="C118" s="200" t="s">
        <v>93</v>
      </c>
      <c r="D118" s="915" t="s">
        <v>811</v>
      </c>
      <c r="E118" s="915"/>
      <c r="F118" s="347" t="s">
        <v>94</v>
      </c>
      <c r="G118" s="348" t="s">
        <v>95</v>
      </c>
      <c r="H118" s="349" t="s">
        <v>96</v>
      </c>
      <c r="I118" s="915" t="s">
        <v>811</v>
      </c>
      <c r="J118" s="915"/>
      <c r="K118" s="510" t="s">
        <v>94</v>
      </c>
      <c r="L118" s="511" t="s">
        <v>95</v>
      </c>
      <c r="M118" s="512" t="s">
        <v>96</v>
      </c>
      <c r="N118" s="201" t="s">
        <v>97</v>
      </c>
      <c r="O118" s="201" t="s">
        <v>97</v>
      </c>
      <c r="P118" s="201" t="s">
        <v>97</v>
      </c>
      <c r="Q118" s="358" t="s">
        <v>97</v>
      </c>
      <c r="R118" s="202"/>
      <c r="S118" s="203"/>
      <c r="T118" s="204"/>
      <c r="U118" s="204"/>
      <c r="V118" s="325"/>
      <c r="W118" s="323">
        <f>SUM(W119:W123)</f>
        <v>0</v>
      </c>
      <c r="X118" s="323">
        <f>SUM(X119:X123)</f>
        <v>0</v>
      </c>
      <c r="Y118" s="323"/>
      <c r="Z118" s="323"/>
      <c r="AA118" s="323"/>
      <c r="AB118" s="323" t="s">
        <v>111</v>
      </c>
      <c r="AC118" s="323" t="s">
        <v>98</v>
      </c>
      <c r="AD118" s="323" t="s">
        <v>99</v>
      </c>
      <c r="AE118" s="323" t="s">
        <v>100</v>
      </c>
      <c r="AF118" s="323"/>
      <c r="AG118" s="323"/>
      <c r="AH118" s="323"/>
      <c r="AI118" s="323" t="str">
        <f>'LCA data'!$B$32</f>
        <v>Isolering</v>
      </c>
      <c r="AJ118" s="323">
        <f>VLOOKUP(E121,Pris.isolering[],2,0)*F121*C121</f>
        <v>0</v>
      </c>
      <c r="AK118" s="323">
        <f>VLOOKUP(J121,Pris.isolering[],2,0)*K121*C121</f>
        <v>0</v>
      </c>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c r="BN118" s="323"/>
      <c r="BO118" s="323"/>
      <c r="BP118" s="323"/>
      <c r="BQ118" s="323"/>
      <c r="BR118" s="323"/>
      <c r="BS118" s="323"/>
      <c r="BT118" s="323"/>
      <c r="BU118" s="323"/>
      <c r="BV118" s="323"/>
      <c r="BW118" s="323"/>
      <c r="BX118" s="323"/>
      <c r="BY118" s="323"/>
      <c r="BZ118" s="323"/>
      <c r="CA118" s="323"/>
      <c r="CB118" s="323"/>
      <c r="CC118" s="323"/>
      <c r="CD118" s="323"/>
      <c r="CE118" s="323"/>
      <c r="CF118" s="323"/>
      <c r="CG118" s="323"/>
      <c r="CH118" s="323"/>
      <c r="CI118" s="323"/>
      <c r="CJ118" s="323"/>
      <c r="CK118" s="323"/>
      <c r="CL118" s="323"/>
      <c r="CM118" s="323"/>
      <c r="CN118" s="323"/>
      <c r="CO118" s="323"/>
      <c r="CP118" s="436"/>
      <c r="CQ118" s="433"/>
      <c r="CR118" s="323"/>
      <c r="CS118" s="323"/>
      <c r="CT118" s="323"/>
      <c r="CU118" s="323"/>
      <c r="CV118" s="323"/>
      <c r="CW118" s="323"/>
      <c r="CX118" s="323"/>
      <c r="CY118" s="323"/>
      <c r="CZ118" s="323"/>
      <c r="DA118" s="325"/>
      <c r="DB118" s="325"/>
      <c r="DC118" s="325"/>
      <c r="DD118" s="325"/>
      <c r="DE118" s="325"/>
      <c r="DF118" s="325"/>
      <c r="DG118" s="325"/>
      <c r="DH118" s="325"/>
      <c r="DI118" s="325"/>
      <c r="DJ118" s="325"/>
      <c r="DK118" s="325"/>
      <c r="DL118" s="325"/>
      <c r="DM118" s="325"/>
      <c r="DN118" s="325"/>
      <c r="DO118" s="325"/>
      <c r="DP118" s="325"/>
      <c r="DQ118" s="325"/>
      <c r="DR118" s="325"/>
      <c r="DS118" s="325"/>
      <c r="DT118" s="325"/>
      <c r="DU118" s="325"/>
      <c r="DV118" s="325"/>
      <c r="DW118" s="325"/>
      <c r="DX118" s="325"/>
      <c r="DY118" s="325"/>
      <c r="DZ118" s="325"/>
      <c r="EA118" s="325"/>
      <c r="EB118" s="325"/>
      <c r="EC118" s="325"/>
      <c r="ED118" s="325"/>
      <c r="EE118" s="325"/>
      <c r="EF118" s="325"/>
      <c r="EG118" s="325"/>
      <c r="EH118" s="325"/>
      <c r="EI118" s="325"/>
      <c r="EJ118" s="325"/>
      <c r="EK118" s="1072"/>
      <c r="EL118" s="1072"/>
      <c r="EM118" s="1072"/>
      <c r="EN118" s="1072"/>
      <c r="EO118" s="1072"/>
      <c r="EP118" s="1072"/>
      <c r="EQ118" s="1072"/>
      <c r="ER118" s="325"/>
      <c r="ES118" s="325"/>
      <c r="ET118" s="325"/>
      <c r="EU118" s="325"/>
      <c r="EV118" s="325"/>
      <c r="EW118" s="325"/>
      <c r="EX118" s="325"/>
      <c r="EY118" s="325"/>
      <c r="EZ118" s="325"/>
      <c r="FA118" s="325"/>
      <c r="FB118" s="325"/>
      <c r="FC118" s="325"/>
      <c r="FD118" s="325"/>
      <c r="FE118" s="325"/>
      <c r="FF118" s="325"/>
      <c r="FG118" s="325"/>
      <c r="FH118" s="325"/>
      <c r="FI118" s="325"/>
      <c r="FJ118" s="325"/>
      <c r="FK118" s="325"/>
      <c r="FL118" s="325"/>
      <c r="FM118" s="325"/>
      <c r="FN118" s="325"/>
      <c r="FO118" s="325"/>
      <c r="FP118" s="325"/>
      <c r="FQ118" s="325"/>
      <c r="FR118" s="325"/>
      <c r="FS118" s="325"/>
      <c r="FT118" s="325"/>
      <c r="FU118" s="325"/>
      <c r="FV118" s="325"/>
      <c r="FW118" s="325"/>
      <c r="FX118" s="325"/>
      <c r="FY118" s="325"/>
      <c r="FZ118" s="325"/>
      <c r="GA118" s="325"/>
      <c r="GB118" s="325"/>
      <c r="GC118" s="325"/>
      <c r="GD118" s="325"/>
      <c r="GE118" s="325"/>
      <c r="GF118" s="325"/>
      <c r="GG118" s="325"/>
      <c r="GH118" s="325"/>
      <c r="GI118" s="325"/>
      <c r="GJ118" s="325"/>
      <c r="GK118" s="325"/>
      <c r="GL118" s="325"/>
      <c r="GM118" s="325"/>
      <c r="GN118" s="325"/>
      <c r="GO118" s="325"/>
      <c r="GP118" s="325"/>
      <c r="GQ118" s="325"/>
      <c r="GR118" s="325"/>
      <c r="GS118" s="325"/>
      <c r="GT118" s="325"/>
      <c r="GU118" s="325"/>
      <c r="GV118" s="325"/>
      <c r="GW118" s="325"/>
      <c r="GX118" s="325"/>
      <c r="GY118" s="325"/>
      <c r="GZ118" s="325"/>
      <c r="HA118" s="325"/>
      <c r="HB118" s="325"/>
      <c r="HC118" s="325"/>
      <c r="HD118" s="325"/>
      <c r="HE118" s="325"/>
      <c r="HF118" s="325"/>
      <c r="HG118" s="325"/>
      <c r="HH118" s="325"/>
      <c r="HI118" s="325"/>
      <c r="HJ118" s="325"/>
      <c r="HK118" s="325"/>
      <c r="HL118" s="325"/>
      <c r="HM118" s="325"/>
      <c r="HN118" s="325"/>
    </row>
    <row r="119" spans="2:222" ht="40.4" hidden="1" customHeight="1" outlineLevel="1" thickBot="1" x14ac:dyDescent="0.4">
      <c r="B119" s="205" t="str">
        <f>'LCA data'!$B$8</f>
        <v>Udvendig beklædning</v>
      </c>
      <c r="C119" s="465">
        <f>$C$117*$C$42</f>
        <v>0</v>
      </c>
      <c r="D119" s="15" t="s">
        <v>103</v>
      </c>
      <c r="E119" s="342" t="str">
        <f>IF(D118=$D$82,D119,VLOOKUP(B119,Auto_Ydervæg[],VLOOKUP(D118,Type_Tung_Middel_Let[],2,0),0))</f>
        <v>Angiv ikke</v>
      </c>
      <c r="F119" s="356">
        <f>(VLOOKUP(E119,Pris.udvendig.beklædning[],4,0))/1000</f>
        <v>0</v>
      </c>
      <c r="G119" s="350"/>
      <c r="H119" s="351" t="str">
        <f>IFERROR(IF(VLOOKUP(B119&amp;"_"&amp;E119,'LCA data'!$B$7:$X$200,2,FALSE)&lt;$Y$24,1,0)+IF(VLOOKUP(B119&amp;"_"&amp;E119,'LCA data'!$B$7:$X$200,2,FALSE)*2&lt;$Y$24,1,0),"")</f>
        <v/>
      </c>
      <c r="I119" s="15" t="s">
        <v>103</v>
      </c>
      <c r="J119" s="342" t="str">
        <f>IF(I118=$D$82,I119,VLOOKUP(B119,Auto_Ydervæg[],VLOOKUP(I118,Type_Tung_Middel_Let[],2,0),0))</f>
        <v>Angiv ikke</v>
      </c>
      <c r="K119" s="513">
        <f>(VLOOKUP(J119,Pris.udvendig.beklædning[],4,0))/1000</f>
        <v>0</v>
      </c>
      <c r="L119" s="514"/>
      <c r="M119" s="515" t="str">
        <f>IFERROR(IF(VLOOKUP(B119&amp;"_"&amp;J119,'LCA data'!$B$7:$X$200,2,FALSE)&lt;$Y$24,1,0)+IF(VLOOKUP(B119&amp;"_"&amp;J119,'LCA data'!$B$7:$X$200,2,FALSE)*2&lt;$Y$24,1,0),"")</f>
        <v/>
      </c>
      <c r="N119" s="206">
        <f>W119/1000</f>
        <v>0</v>
      </c>
      <c r="O119" s="878">
        <f>SUM(N119:N123)</f>
        <v>0</v>
      </c>
      <c r="P119" s="207">
        <f>X119/1000</f>
        <v>0</v>
      </c>
      <c r="Q119" s="888">
        <f>SUM(P119:P123)</f>
        <v>0</v>
      </c>
      <c r="R119" s="192"/>
      <c r="S119" s="196"/>
      <c r="V119" s="251"/>
      <c r="W119" s="323">
        <f>IF(E119="Angiv ikke",0,((1+H119)*VLOOKUP(B119&amp;"_"&amp;E119,'LCA data'!$B$7:$X$360,19,FALSE)*(F119*10^3)*C119))</f>
        <v>0</v>
      </c>
      <c r="X119" s="323">
        <f>IF(J119="Angiv ikke",0,((1+M119)*VLOOKUP(B119&amp;"_"&amp;J119,'LCA data'!$B$7:$X$360,19,FALSE)*(K119*10^3)*C119))</f>
        <v>0</v>
      </c>
      <c r="Y119" s="323"/>
      <c r="Z119" s="323"/>
      <c r="AA119" s="323" t="s">
        <v>4</v>
      </c>
      <c r="AB119" s="323">
        <f>AF119/$J$21/$Y$24*1000</f>
        <v>0</v>
      </c>
      <c r="AC119" s="323">
        <f>Varmetab!H71</f>
        <v>0</v>
      </c>
      <c r="AD119" s="323">
        <f>AB119+AC119</f>
        <v>0</v>
      </c>
      <c r="AE119" s="323" t="s">
        <v>4</v>
      </c>
      <c r="AF119" s="323">
        <f>W118/1000</f>
        <v>0</v>
      </c>
      <c r="AG119" s="323"/>
      <c r="AH119" s="323"/>
      <c r="AI119" s="323" t="str">
        <f>'LCA data'!$B$52</f>
        <v>Indvendig konstruktion</v>
      </c>
      <c r="AJ119" s="323">
        <f>VLOOKUP(E122,Pris.indvendig.konstruktion[],2,0)*F122*C122</f>
        <v>0</v>
      </c>
      <c r="AK119" s="323">
        <f>VLOOKUP(J122,Pris.indvendig.konstruktion[],2,0)*K122*C122</f>
        <v>0</v>
      </c>
      <c r="AL119" s="323"/>
      <c r="AM119" s="323"/>
      <c r="AN119" s="323">
        <f>IF(E119="Angiv ikke",0,((1+H119)*VLOOKUP(B119&amp;"_"&amp;E119,'LCA data'!$B$7:$X$360,20,FALSE)*(F119*10^3)*C119))</f>
        <v>0</v>
      </c>
      <c r="AO119" s="323">
        <f>IF(J119="Angiv ikke",0,((1+M119)*VLOOKUP(B119&amp;"_"&amp;J119,'LCA data'!$B$7:$X$360,20,FALSE)*(K119*10^3)*C119))</f>
        <v>0</v>
      </c>
      <c r="AP119" s="323"/>
      <c r="AQ119" s="323"/>
      <c r="AR119" s="323">
        <f>IF(E119="Angiv ikke",0,((1+H119)*VLOOKUP(B119&amp;"_"&amp;E119,'LCA data'!$B$7:$AA$360,26,FALSE)*(F119*10^3)*C119))</f>
        <v>0</v>
      </c>
      <c r="AS119" s="323">
        <f>IF(J119="Angiv ikke",0,((1+M119)*VLOOKUP(B119&amp;"_"&amp;J119,'LCA data'!$B$7:$AA$360,26,FALSE)*(K119*10^3)*C119))</f>
        <v>0</v>
      </c>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A119" s="323"/>
      <c r="CB119" s="323"/>
      <c r="CC119" s="323"/>
      <c r="CD119" s="323"/>
      <c r="CE119" s="323"/>
      <c r="CF119" s="323"/>
      <c r="CG119" s="323"/>
      <c r="CH119" s="323"/>
      <c r="CI119" s="323"/>
      <c r="CJ119" s="323"/>
      <c r="CK119" s="323"/>
      <c r="CL119" s="323"/>
      <c r="CM119" s="323"/>
      <c r="CN119" s="323"/>
      <c r="CO119" s="323"/>
      <c r="CP119" s="437"/>
      <c r="CQ119" s="438"/>
      <c r="CR119" s="323"/>
      <c r="CS119" s="323"/>
      <c r="CT119" s="323"/>
      <c r="CU119" s="323"/>
      <c r="CV119" s="323"/>
      <c r="CW119" s="323"/>
      <c r="CX119" s="323"/>
      <c r="CY119" s="323"/>
      <c r="CZ119" s="323"/>
      <c r="EK119" s="1070"/>
      <c r="EL119" s="1070"/>
      <c r="EM119" s="1070"/>
      <c r="EN119" s="1070"/>
      <c r="EO119" s="1070"/>
      <c r="EP119" s="1070"/>
      <c r="EQ119" s="1070"/>
    </row>
    <row r="120" spans="2:222" ht="40.4" hidden="1" customHeight="1" outlineLevel="1" x14ac:dyDescent="0.35">
      <c r="B120" s="205" t="str">
        <f>'LCA data'!$B$25</f>
        <v>Udvendig konstruktion</v>
      </c>
      <c r="C120" s="465">
        <f t="shared" ref="C120:C123" si="11">$C$117*$C$42</f>
        <v>0</v>
      </c>
      <c r="D120" s="168" t="s">
        <v>103</v>
      </c>
      <c r="E120" s="342" t="str">
        <f>IF(D118=$D$82,D120,VLOOKUP(B120,Auto_Ydervæg[],VLOOKUP(D118,Type_Tung_Middel_Let[],2,0),0))</f>
        <v>Angiv ikke</v>
      </c>
      <c r="F120" s="356"/>
      <c r="G120" s="353"/>
      <c r="H120" s="351" t="str">
        <f>IFERROR(IF(VLOOKUP(B120&amp;"_"&amp;E120,'LCA data'!$B$7:$X$200,2,FALSE)&lt;$Y$24,1,0)+IF(VLOOKUP(B120&amp;"_"&amp;E120,'LCA data'!$B$7:$X$200,2,FALSE)*2&lt;$Y$24,1,0),"")</f>
        <v/>
      </c>
      <c r="I120" s="168" t="s">
        <v>103</v>
      </c>
      <c r="J120" s="342" t="str">
        <f>IF($I118=$D$82,I120,VLOOKUP(B120,Auto_Ydervæg[],VLOOKUP(I118,Type_Tung_Middel_Let[],2,0),0))</f>
        <v>Angiv ikke</v>
      </c>
      <c r="K120" s="513"/>
      <c r="L120" s="514"/>
      <c r="M120" s="515" t="str">
        <f>IFERROR(IF(VLOOKUP(B120&amp;"_"&amp;J120,'LCA data'!$B$7:$X$200,2,FALSE)&lt;$Y$24,1,0)+IF(VLOOKUP(B120&amp;"_"&amp;J120,'LCA data'!$B$7:$X$200,2,FALSE)*2&lt;$Y$24,1,0),"")</f>
        <v/>
      </c>
      <c r="N120" s="206">
        <f>W120/1000</f>
        <v>0</v>
      </c>
      <c r="O120" s="878"/>
      <c r="P120" s="207">
        <f>X120/1000</f>
        <v>0</v>
      </c>
      <c r="Q120" s="889"/>
      <c r="R120" s="192"/>
      <c r="S120" s="196"/>
      <c r="V120" s="251"/>
      <c r="W120" s="323">
        <f>IF(E120="Angiv ikke",0,((1+H120)*VLOOKUP(B120&amp;"_"&amp;E120,'LCA data'!$B$7:$X$360,19,FALSE)*C120))</f>
        <v>0</v>
      </c>
      <c r="X120" s="323">
        <f>IF(J120="Angiv ikke",0,((1+M120)*VLOOKUP(B120&amp;"_"&amp;J120,'LCA data'!$B$7:$X$360,19,FALSE)*C120))</f>
        <v>0</v>
      </c>
      <c r="Y120" s="323"/>
      <c r="Z120" s="323"/>
      <c r="AA120" s="323" t="s">
        <v>5</v>
      </c>
      <c r="AB120" s="323">
        <f>AG120/$J$21/$Y$24*1000</f>
        <v>0</v>
      </c>
      <c r="AC120" s="323">
        <f>Varmetab!I71</f>
        <v>0</v>
      </c>
      <c r="AD120" s="323">
        <f>AB120+AC120</f>
        <v>0</v>
      </c>
      <c r="AE120" s="323" t="s">
        <v>5</v>
      </c>
      <c r="AF120" s="323"/>
      <c r="AG120" s="323">
        <f>X118/1000</f>
        <v>0</v>
      </c>
      <c r="AH120" s="323"/>
      <c r="AI120" s="323" t="str">
        <f>'LCA data'!$B$65</f>
        <v>Indvendig beklædning</v>
      </c>
      <c r="AJ120" s="323">
        <f>VLOOKUP(E123,Pris.indvendig.beklædning[],2,0)*C123</f>
        <v>0</v>
      </c>
      <c r="AK120" s="323">
        <f>VLOOKUP(J123,Pris.indvendig.beklædning[],2,0)*C123</f>
        <v>0</v>
      </c>
      <c r="AL120" s="323"/>
      <c r="AM120" s="323"/>
      <c r="AN120" s="323">
        <f>IF(E120="Angiv ikke",0,((1+H120)*VLOOKUP(B120&amp;"_"&amp;E120,'LCA data'!$B$7:$X$360,20,FALSE)*(F120*10^3)*C120))</f>
        <v>0</v>
      </c>
      <c r="AO120" s="323">
        <f>IF(J120="Angiv ikke",0,((1+M120)*VLOOKUP(B120&amp;"_"&amp;J120,'LCA data'!$B$7:$X$360,20,FALSE)*(K120*10^3)*C120))</f>
        <v>0</v>
      </c>
      <c r="AP120" s="323"/>
      <c r="AQ120" s="323"/>
      <c r="AR120" s="323">
        <f>IF(E120="Angiv ikke",0,((1+H120)*VLOOKUP(B120&amp;"_"&amp;E120,'LCA data'!$B$7:$AA$360,26,FALSE)*(F120*10^3)*C120))</f>
        <v>0</v>
      </c>
      <c r="AS120" s="323">
        <f>IF(J120="Angiv ikke",0,((1+M120)*VLOOKUP(B120&amp;"_"&amp;J120,'LCA data'!$B$7:$AA$360,26,FALSE)*(K120*10^3)*C120))</f>
        <v>0</v>
      </c>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c r="BN120" s="323"/>
      <c r="BO120" s="323"/>
      <c r="BP120" s="323"/>
      <c r="BQ120" s="323"/>
      <c r="BR120" s="323"/>
      <c r="BS120" s="323"/>
      <c r="BT120" s="323"/>
      <c r="BU120" s="323"/>
      <c r="BV120" s="323"/>
      <c r="BW120" s="323"/>
      <c r="BX120" s="323"/>
      <c r="BY120" s="323"/>
      <c r="BZ120" s="323"/>
      <c r="CA120" s="323"/>
      <c r="CB120" s="323"/>
      <c r="CC120" s="323"/>
      <c r="CD120" s="323"/>
      <c r="CE120" s="323"/>
      <c r="CF120" s="323"/>
      <c r="CG120" s="323"/>
      <c r="CH120" s="323"/>
      <c r="CI120" s="323"/>
      <c r="CJ120" s="323"/>
      <c r="CK120" s="323"/>
      <c r="CL120" s="323"/>
      <c r="CM120" s="323"/>
      <c r="CN120" s="323"/>
      <c r="CO120" s="323"/>
      <c r="CP120" s="439"/>
      <c r="CQ120" s="440"/>
      <c r="CR120" s="323"/>
      <c r="CS120" s="323"/>
      <c r="CT120" s="323"/>
      <c r="CU120" s="323"/>
      <c r="CV120" s="323"/>
      <c r="CW120" s="323"/>
      <c r="CX120" s="323"/>
      <c r="CY120" s="323"/>
      <c r="CZ120" s="323"/>
      <c r="EK120" s="1070"/>
      <c r="EL120" s="1070"/>
      <c r="EM120" s="1070"/>
      <c r="EN120" s="1070"/>
      <c r="EO120" s="1070"/>
      <c r="EP120" s="1070"/>
      <c r="EQ120" s="1070"/>
    </row>
    <row r="121" spans="2:222" ht="40.4" hidden="1" customHeight="1" outlineLevel="1" thickBot="1" x14ac:dyDescent="0.4">
      <c r="B121" s="208" t="str">
        <f>'LCA data'!$B$32</f>
        <v>Isolering</v>
      </c>
      <c r="C121" s="465">
        <f t="shared" si="11"/>
        <v>0</v>
      </c>
      <c r="D121" s="169" t="s">
        <v>103</v>
      </c>
      <c r="E121" s="342" t="str">
        <f>IF(D118=$D$82,D121,VLOOKUP(B121,Auto_Ydervæg[],VLOOKUP(D118,Type_Tung_Middel_Let[],2,0),0))</f>
        <v>Angiv ikke</v>
      </c>
      <c r="F121" s="172">
        <v>0.3</v>
      </c>
      <c r="G121" s="478" t="str">
        <f>VLOOKUP(E121,Isoleringsmateriale[],2,0)</f>
        <v>?</v>
      </c>
      <c r="H121" s="351" t="str">
        <f>IFERROR(IF(VLOOKUP(B121&amp;"_"&amp;E121,'LCA data'!$B$7:$X$200,2,FALSE)&lt;$Y$24,1,0)+IF(VLOOKUP(B121&amp;"_"&amp;E121,'LCA data'!$B$7:$X$200,2,FALSE)*2&lt;$Y$24,1,0),"")</f>
        <v/>
      </c>
      <c r="I121" s="169" t="s">
        <v>103</v>
      </c>
      <c r="J121" s="342" t="str">
        <f>IF(I118=$D$82,I121,VLOOKUP(B121,Auto_Ydervæg[],VLOOKUP(I118,Type_Tung_Middel_Let[],2,0),0))</f>
        <v>Angiv ikke</v>
      </c>
      <c r="K121" s="172">
        <v>0.3</v>
      </c>
      <c r="L121" s="478" t="str">
        <f>VLOOKUP(J121,Isoleringsmateriale[],2,0)</f>
        <v>?</v>
      </c>
      <c r="M121" s="515" t="str">
        <f>IFERROR(IF(VLOOKUP(B121&amp;"_"&amp;J121,'LCA data'!$B$7:$X$200,2,FALSE)&lt;$Y$24,1,0)+IF(VLOOKUP(B121&amp;"_"&amp;J121,'LCA data'!$B$7:$X$200,2,FALSE)*2&lt;$Y$24,1,0),"")</f>
        <v/>
      </c>
      <c r="N121" s="206">
        <f>IFERROR(W121/1000,0)</f>
        <v>0</v>
      </c>
      <c r="O121" s="878"/>
      <c r="P121" s="207">
        <f>IFERROR(X121/1000,0)</f>
        <v>0</v>
      </c>
      <c r="Q121" s="889"/>
      <c r="R121" s="192"/>
      <c r="S121" s="196"/>
      <c r="V121" s="251"/>
      <c r="W121" s="323">
        <f>IFERROR(IF(E121="Angiv ikke",0,((1+H121)*VLOOKUP(B121&amp;"_"&amp;E121,'LCA data'!$B$7:$X$360,19,FALSE)*(F121*10^3)*C121)),"0")</f>
        <v>0</v>
      </c>
      <c r="X121" s="323">
        <f>IFERROR(IF(J121="Angiv ikke",0,((1+M121)*VLOOKUP(B121&amp;"_"&amp;J121,'LCA data'!$B$7:$X$360,19,FALSE)*(K121*10^3)*C121)),"0")</f>
        <v>0</v>
      </c>
      <c r="Y121" s="323">
        <f>IF(G121="_",0,Varmetab!H71*$J$21*$Y$24)</f>
        <v>0</v>
      </c>
      <c r="Z121" s="323">
        <f>IF(L121="_",0,Varmetab!I71*$J$21*$Y$24)</f>
        <v>0</v>
      </c>
      <c r="AA121" s="323"/>
      <c r="AB121" s="323"/>
      <c r="AC121" s="323"/>
      <c r="AD121" s="323"/>
      <c r="AE121" s="323"/>
      <c r="AF121" s="323"/>
      <c r="AG121" s="323"/>
      <c r="AH121" s="323"/>
      <c r="AI121" s="323" t="s">
        <v>743</v>
      </c>
      <c r="AJ121" s="323">
        <f>SUM(AJ116:AJ120)</f>
        <v>0</v>
      </c>
      <c r="AK121" s="323">
        <f>SUM(AK116:AK120)</f>
        <v>0</v>
      </c>
      <c r="AL121" s="323"/>
      <c r="AM121" s="323"/>
      <c r="AN121" s="323">
        <f>IF(E121="Angiv ikke",0,((1+H121)*VLOOKUP(B121&amp;"_"&amp;E121,'LCA data'!$B$7:$X$360,20,FALSE)*(F121*10^3)*C121))</f>
        <v>0</v>
      </c>
      <c r="AO121" s="323">
        <f>IF(J121="Angiv ikke",0,((1+M121)*VLOOKUP(B121&amp;"_"&amp;J121,'LCA data'!$B$7:$X$360,20,FALSE)*(K121*10^3)*C121))</f>
        <v>0</v>
      </c>
      <c r="AP121" s="323"/>
      <c r="AQ121" s="323"/>
      <c r="AR121" s="323">
        <f>IF(E121="Angiv ikke",0,((1+H121)*VLOOKUP(B121&amp;"_"&amp;E121,'LCA data'!$B$7:$AA$360,26,FALSE)*(F121*10^3)*C121))</f>
        <v>0</v>
      </c>
      <c r="AS121" s="323">
        <f>IF(J121="Angiv ikke",0,((1+M121)*VLOOKUP(B121&amp;"_"&amp;J121,'LCA data'!$B$7:$AA$360,26,FALSE)*(K121*10^3)*C121))</f>
        <v>0</v>
      </c>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3"/>
      <c r="CL121" s="323"/>
      <c r="CM121" s="323"/>
      <c r="CN121" s="323"/>
      <c r="CO121" s="323"/>
      <c r="CP121" s="428"/>
      <c r="CQ121" s="441"/>
      <c r="CR121" s="323"/>
      <c r="CS121" s="323"/>
      <c r="CT121" s="323"/>
      <c r="CU121" s="323"/>
      <c r="CV121" s="323"/>
      <c r="CW121" s="323"/>
      <c r="CX121" s="323"/>
      <c r="CY121" s="323"/>
      <c r="CZ121" s="323"/>
      <c r="EK121" s="1070"/>
      <c r="EL121" s="1070"/>
      <c r="EM121" s="1070"/>
      <c r="EN121" s="1070"/>
      <c r="EO121" s="1070"/>
      <c r="EP121" s="1070"/>
      <c r="EQ121" s="1070"/>
    </row>
    <row r="122" spans="2:222" ht="40.4" hidden="1" customHeight="1" outlineLevel="1" x14ac:dyDescent="0.35">
      <c r="B122" s="205" t="str">
        <f>'LCA data'!$B$52</f>
        <v>Indvendig konstruktion</v>
      </c>
      <c r="C122" s="465">
        <f t="shared" si="11"/>
        <v>0</v>
      </c>
      <c r="D122" s="16" t="s">
        <v>103</v>
      </c>
      <c r="E122" s="342" t="str">
        <f>IF(D118=$D$82,D122,VLOOKUP(B122,Auto_Ydervæg[],VLOOKUP(D118,Type_Tung_Middel_Let[],2,0),0))</f>
        <v>Angiv ikke</v>
      </c>
      <c r="F122" s="299">
        <f>IF(OR(E122="Stålskelet",E122="Træskelet"),F121,(VLOOKUP(E122,Pris.indvendig.konstruktion[],4,0)/1000))</f>
        <v>0</v>
      </c>
      <c r="G122" s="350"/>
      <c r="H122" s="351" t="str">
        <f>IFERROR(IF(VLOOKUP(B122&amp;"_"&amp;E122,'LCA data'!$B$7:$X$200,2,FALSE)&lt;$Y$24,1,0)+IF(VLOOKUP(B122&amp;"_"&amp;E122,'LCA data'!$B$7:$X$200,2,FALSE)*2&lt;$Y$24,1,0),"")</f>
        <v/>
      </c>
      <c r="I122" s="16" t="s">
        <v>103</v>
      </c>
      <c r="J122" s="342" t="str">
        <f>IF(I118=$D$82,I122,VLOOKUP(B122,Auto_Ydervæg[],VLOOKUP(I118,Type_Tung_Middel_Let[],2,0),0))</f>
        <v>Angiv ikke</v>
      </c>
      <c r="K122" s="299">
        <f>IF(OR(J122="Stålskelet",J122="Træskelet"),K121,(VLOOKUP(J122,Pris.indvendig.konstruktion[],4,0)/1000))</f>
        <v>0</v>
      </c>
      <c r="L122" s="514"/>
      <c r="M122" s="515" t="str">
        <f>IFERROR(IF(VLOOKUP(B122&amp;"_"&amp;J122,'LCA data'!$B$7:$X$200,2,FALSE)&lt;$Y$24,1,0)+IF(VLOOKUP(B122&amp;"_"&amp;J122,'LCA data'!$B$7:$X$200,2,FALSE)*2&lt;$Y$24,1,0),"")</f>
        <v/>
      </c>
      <c r="N122" s="206">
        <f>W122/1000</f>
        <v>0</v>
      </c>
      <c r="O122" s="878"/>
      <c r="P122" s="207">
        <f>X122/1000</f>
        <v>0</v>
      </c>
      <c r="Q122" s="889"/>
      <c r="R122" s="192"/>
      <c r="S122" s="196"/>
      <c r="V122" s="251"/>
      <c r="W122" s="323">
        <f>IF(E122="Angiv ikke",0,((1+H122)*VLOOKUP(B122&amp;"_"&amp;E122,'LCA data'!$B$7:$X$360,19,FALSE)*(F122*10^3)*C122))</f>
        <v>0</v>
      </c>
      <c r="X122" s="323">
        <f>IF(J122="Angiv ikke",0,((1+M122)*VLOOKUP(B122&amp;"_"&amp;J122,'LCA data'!$B$7:$X$360,19,FALSE)*(K122*10^3)*C122))</f>
        <v>0</v>
      </c>
      <c r="Y122" s="323"/>
      <c r="Z122" s="323"/>
      <c r="AA122" s="323"/>
      <c r="AB122" s="323"/>
      <c r="AC122" s="323"/>
      <c r="AD122" s="323"/>
      <c r="AE122" s="323"/>
      <c r="AF122" s="323"/>
      <c r="AG122" s="323"/>
      <c r="AH122" s="323"/>
      <c r="AI122" s="323"/>
      <c r="AJ122" s="323"/>
      <c r="AK122" s="323"/>
      <c r="AL122" s="323"/>
      <c r="AM122" s="323"/>
      <c r="AN122" s="323">
        <f>IF(E122="Angiv ikke",0,((1+H122)*VLOOKUP(B122&amp;"_"&amp;E122,'LCA data'!$B$7:$X$360,20,FALSE)*(F122*10^3)*C122))</f>
        <v>0</v>
      </c>
      <c r="AO122" s="323">
        <f>IF(J122="Angiv ikke",0,((1+M122)*VLOOKUP(B122&amp;"_"&amp;J122,'LCA data'!$B$7:$X$360,20,FALSE)*(K122*10^3)*C122))</f>
        <v>0</v>
      </c>
      <c r="AP122" s="323"/>
      <c r="AQ122" s="323"/>
      <c r="AR122" s="323">
        <f>IF(E122="Angiv ikke",0,((1+H122)*VLOOKUP(B122&amp;"_"&amp;E122,'LCA data'!$B$7:$AA$360,26,FALSE)*(F122*10^3)*C122))</f>
        <v>0</v>
      </c>
      <c r="AS122" s="323">
        <f>IF(J122="Angiv ikke",0,((1+M122)*VLOOKUP(B122&amp;"_"&amp;J122,'LCA data'!$B$7:$AA$360,26,FALSE)*(K122*10^3)*C122))</f>
        <v>0</v>
      </c>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A122" s="323"/>
      <c r="CB122" s="323"/>
      <c r="CC122" s="323"/>
      <c r="CD122" s="323"/>
      <c r="CE122" s="323"/>
      <c r="CF122" s="323"/>
      <c r="CG122" s="323"/>
      <c r="CH122" s="323"/>
      <c r="CI122" s="323"/>
      <c r="CJ122" s="323"/>
      <c r="CK122" s="323"/>
      <c r="CL122" s="323"/>
      <c r="CM122" s="323"/>
      <c r="CN122" s="323"/>
      <c r="CO122" s="323"/>
      <c r="CP122" s="1144" t="s">
        <v>77</v>
      </c>
      <c r="CQ122" s="1145"/>
      <c r="CR122" s="323"/>
      <c r="CS122" s="323"/>
      <c r="CT122" s="323"/>
      <c r="CU122" s="323"/>
      <c r="CV122" s="323"/>
      <c r="CW122" s="323"/>
      <c r="CX122" s="323"/>
      <c r="CY122" s="323"/>
      <c r="CZ122" s="323"/>
      <c r="EK122" s="1070"/>
      <c r="EL122" s="1070"/>
      <c r="EM122" s="1070"/>
      <c r="EN122" s="1070"/>
      <c r="EO122" s="1070"/>
      <c r="EP122" s="1070"/>
      <c r="EQ122" s="1070"/>
    </row>
    <row r="123" spans="2:222" ht="40.4" hidden="1" customHeight="1" outlineLevel="1" thickBot="1" x14ac:dyDescent="0.4">
      <c r="B123" s="209" t="str">
        <f>'LCA data'!$B$65</f>
        <v>Indvendig beklædning</v>
      </c>
      <c r="C123" s="464">
        <f t="shared" si="11"/>
        <v>0</v>
      </c>
      <c r="D123" s="171" t="s">
        <v>103</v>
      </c>
      <c r="E123" s="344" t="str">
        <f>IF(D118=$D$82,D123,VLOOKUP(B123,Auto_Ydervæg[],VLOOKUP(D118,Type_Tung_Middel_Let[],2,0),0))</f>
        <v>Angiv ikke</v>
      </c>
      <c r="F123" s="459">
        <f>(VLOOKUP(E123,Pris.indvendig.beklædning[],4,0))/1000</f>
        <v>0</v>
      </c>
      <c r="G123" s="354"/>
      <c r="H123" s="355" t="str">
        <f>IFERROR(IF(VLOOKUP(B123&amp;"_"&amp;E123,'LCA data'!$B$7:$X$200,2,FALSE)&lt;$Y$24,1,0)+IF(VLOOKUP(B123&amp;"_"&amp;E123,'LCA data'!$B$7:$X$200,2,FALSE)*2&lt;$Y$24,1,0),"")</f>
        <v/>
      </c>
      <c r="I123" s="171" t="s">
        <v>103</v>
      </c>
      <c r="J123" s="344" t="str">
        <f>IF(I118=$D$82,I123,VLOOKUP(B123,Auto_Ydervæg[],VLOOKUP(I118,Type_Tung_Middel_Let[],2,0),0))</f>
        <v>Angiv ikke</v>
      </c>
      <c r="K123" s="518">
        <f>(VLOOKUP(J123,Pris.indvendig.beklædning[],4,0))/1000</f>
        <v>0</v>
      </c>
      <c r="L123" s="519"/>
      <c r="M123" s="520" t="str">
        <f>IFERROR(IF(VLOOKUP(B123&amp;"_"&amp;J123,'LCA data'!$B$7:$X$200,2,FALSE)&lt;$Y$24,1,0)+IF(VLOOKUP(B123&amp;"_"&amp;J123,'LCA data'!$B$7:$X$200,2,FALSE)*2&lt;$Y$24,1,0),"")</f>
        <v/>
      </c>
      <c r="N123" s="210">
        <f>W123/1000</f>
        <v>0</v>
      </c>
      <c r="O123" s="879"/>
      <c r="P123" s="211">
        <f>X123/1000</f>
        <v>0</v>
      </c>
      <c r="Q123" s="890"/>
      <c r="R123" s="212"/>
      <c r="S123" s="213"/>
      <c r="V123" s="251"/>
      <c r="W123" s="323">
        <f>IF(E123="Angiv ikke",0,((1+H123)*VLOOKUP(B123&amp;"_"&amp;E123,'LCA data'!$B$7:$X$360,19,FALSE)*(F123*10^3)*C123))</f>
        <v>0</v>
      </c>
      <c r="X123" s="323">
        <f>IF(J123="Angiv ikke",0,((1+M123)*VLOOKUP(B123&amp;"_"&amp;J123,'LCA data'!$B$7:$X$360,19,FALSE)*(K123*10^3)*C123))</f>
        <v>0</v>
      </c>
      <c r="Y123" s="323"/>
      <c r="Z123" s="323"/>
      <c r="AA123" s="323"/>
      <c r="AB123" s="323"/>
      <c r="AC123" s="323"/>
      <c r="AD123" s="323"/>
      <c r="AE123" s="323"/>
      <c r="AF123" s="323"/>
      <c r="AG123" s="323"/>
      <c r="AH123" s="323"/>
      <c r="AI123" s="323"/>
      <c r="AJ123" s="323"/>
      <c r="AK123" s="323"/>
      <c r="AL123" s="323"/>
      <c r="AM123" s="323"/>
      <c r="AN123" s="323">
        <f>IF(E123="Angiv ikke",0,((1+H123)*VLOOKUP(B123&amp;"_"&amp;E123,'LCA data'!$B$7:$X$360,20,FALSE)*(F123*10^3)*C123))</f>
        <v>0</v>
      </c>
      <c r="AO123" s="323">
        <f>IF(J123="Angiv ikke",0,((1+M123)*VLOOKUP(B123&amp;"_"&amp;J123,'LCA data'!$B$7:$X$360,20,FALSE)*(K123*10^3)*C123))</f>
        <v>0</v>
      </c>
      <c r="AP123" s="323"/>
      <c r="AQ123" s="323"/>
      <c r="AR123" s="323">
        <f>IF(E123="Angiv ikke",0,((1+H123)*VLOOKUP(B123&amp;"_"&amp;E123,'LCA data'!$B$7:$AA$360,26,FALSE)*(F123*10^3)*C123))</f>
        <v>0</v>
      </c>
      <c r="AS123" s="323">
        <f>IF(J123="Angiv ikke",0,((1+M123)*VLOOKUP(B123&amp;"_"&amp;J123,'LCA data'!$B$7:$AA$360,26,FALSE)*(K123*10^3)*C123))</f>
        <v>0</v>
      </c>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323"/>
      <c r="CE123" s="323"/>
      <c r="CF123" s="323"/>
      <c r="CG123" s="323"/>
      <c r="CH123" s="323"/>
      <c r="CI123" s="323"/>
      <c r="CJ123" s="323"/>
      <c r="CK123" s="323"/>
      <c r="CL123" s="323"/>
      <c r="CM123" s="323"/>
      <c r="CN123" s="323"/>
      <c r="CO123" s="323"/>
      <c r="CP123" s="431"/>
      <c r="CQ123" s="432"/>
      <c r="CR123" s="323"/>
      <c r="CS123" s="323"/>
      <c r="CT123" s="323"/>
      <c r="CU123" s="323"/>
      <c r="CV123" s="323"/>
      <c r="CW123" s="323"/>
      <c r="CX123" s="323"/>
      <c r="CY123" s="323"/>
      <c r="CZ123" s="323"/>
      <c r="EK123" s="1070"/>
      <c r="EL123" s="1070"/>
      <c r="EM123" s="1070"/>
      <c r="EN123" s="1070"/>
      <c r="EO123" s="1070"/>
      <c r="EP123" s="1070"/>
      <c r="EQ123" s="1070"/>
    </row>
    <row r="124" spans="2:222" ht="13.5" hidden="1" customHeight="1" outlineLevel="1" x14ac:dyDescent="0.45">
      <c r="B124" s="542"/>
      <c r="C124" s="542"/>
      <c r="D124" s="542"/>
      <c r="E124" s="542"/>
      <c r="F124" s="542"/>
      <c r="G124" s="542"/>
      <c r="H124" s="542"/>
      <c r="I124" s="542"/>
      <c r="J124" s="542"/>
      <c r="K124" s="542"/>
      <c r="L124" s="542"/>
      <c r="M124" s="542"/>
      <c r="N124" s="218"/>
      <c r="P124" s="216"/>
      <c r="Q124" s="220"/>
      <c r="R124" s="217"/>
      <c r="V124" s="251"/>
      <c r="W124" s="323"/>
      <c r="X124" s="323"/>
      <c r="Y124" s="323"/>
      <c r="Z124" s="323"/>
      <c r="AA124" s="323"/>
      <c r="AB124" s="323"/>
      <c r="AC124" s="323"/>
      <c r="AD124" s="323"/>
      <c r="AE124" s="323"/>
      <c r="AF124" s="323"/>
      <c r="AG124" s="323"/>
      <c r="AH124" s="323"/>
      <c r="AI124" s="323" t="str">
        <f>IFERROR(VLOOKUP(B124&amp;"_"&amp;J124,'LCA data'!$B$7:$X$200,19,FALSE)*(K124*10^3)*C124,"")</f>
        <v/>
      </c>
      <c r="AJ124" s="323" t="str">
        <f>IFERROR(VLOOKUP($B124&amp;"_"&amp;J124,'LCA data'!$B$7:$X$238,2,FALSE),"")</f>
        <v/>
      </c>
      <c r="AK124" s="323" t="str">
        <f>IFERROR(IF(M124&gt;0,VLOOKUP(B124&amp;"_"&amp;J124,'LCA data'!$B$7:$X$200,19,FALSE)*(K124*10^3)*C124,""),"")</f>
        <v/>
      </c>
      <c r="AL124" s="323" t="str">
        <f>IFERROR(AJ124+VLOOKUP(B124&amp;"_"&amp;J124,'LCA data'!$B$7:$X$238,2,FALSE),"")</f>
        <v/>
      </c>
      <c r="AM124" s="323" t="str">
        <f>IFERROR(IF(M124-1&gt;0,VLOOKUP(B124&amp;"_"&amp;J124,'LCA data'!$B$7:$X$200,19,FALSE)*(K124*10^3)*C124,""),"")</f>
        <v/>
      </c>
      <c r="AN124" s="323" t="str">
        <f>IFERROR(AL124+VLOOKUP(B124&amp;"_"&amp;J124,'LCA data'!$B$7:$X$238,2,FALSE),"")</f>
        <v/>
      </c>
      <c r="AO124" s="323" t="str">
        <f>IFERROR(IF(M124-2&gt;0,VLOOKUP(B124&amp;"_"&amp;J124,'LCA data'!$B$7:$X$200,19,FALSE)*(K124*10^3)*C124,""),"")</f>
        <v/>
      </c>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W124" s="323"/>
      <c r="BX124" s="323"/>
      <c r="BY124" s="323"/>
      <c r="BZ124" s="323"/>
      <c r="CA124" s="323"/>
      <c r="CB124" s="323"/>
      <c r="CC124" s="323"/>
      <c r="CD124" s="323"/>
      <c r="CE124" s="323"/>
      <c r="CF124" s="323"/>
      <c r="CG124" s="323"/>
      <c r="CH124" s="323"/>
      <c r="CI124" s="323"/>
      <c r="CJ124" s="323"/>
      <c r="CK124" s="323"/>
      <c r="CL124" s="323"/>
      <c r="CM124" s="323"/>
      <c r="CN124" s="323"/>
      <c r="CO124" s="323"/>
      <c r="CP124" s="431"/>
      <c r="CQ124" s="433"/>
      <c r="CR124" s="323"/>
      <c r="CS124" s="323"/>
      <c r="CT124" s="323"/>
      <c r="CU124" s="323"/>
      <c r="CV124" s="323"/>
      <c r="CW124" s="323"/>
      <c r="CX124" s="323"/>
      <c r="CY124" s="323"/>
      <c r="CZ124" s="323"/>
      <c r="EK124" s="1070"/>
      <c r="EL124" s="1070"/>
      <c r="EM124" s="1070"/>
      <c r="EN124" s="1070"/>
      <c r="EO124" s="1070"/>
      <c r="EP124" s="1070"/>
      <c r="EQ124" s="1070"/>
    </row>
    <row r="125" spans="2:222" ht="18.649999999999999" customHeight="1" collapsed="1" x14ac:dyDescent="0.45">
      <c r="C125" s="222"/>
      <c r="E125" s="223"/>
      <c r="F125" s="223"/>
      <c r="G125" s="223"/>
      <c r="H125" s="223"/>
      <c r="J125" s="223"/>
      <c r="K125" s="223"/>
      <c r="L125" s="223"/>
      <c r="M125" s="223"/>
      <c r="N125" s="223"/>
      <c r="O125" s="223"/>
      <c r="P125" s="223"/>
      <c r="Q125" s="220"/>
      <c r="S125" s="217"/>
      <c r="V125" s="251"/>
      <c r="W125" s="323"/>
      <c r="X125" s="323"/>
      <c r="Y125" s="323"/>
      <c r="Z125" s="323"/>
      <c r="AA125" s="323"/>
      <c r="AB125" s="323"/>
      <c r="AC125" s="323"/>
      <c r="AD125" s="323"/>
      <c r="AE125" s="323"/>
      <c r="AF125" s="323"/>
      <c r="AG125" s="323"/>
      <c r="AH125" s="323"/>
      <c r="AI125" s="323" t="str">
        <f>IFERROR(VLOOKUP(B125&amp;"_"&amp;J125,'LCA data'!$B$7:$X$200,19,FALSE)*(K125*10^3)*C125,"")</f>
        <v/>
      </c>
      <c r="AJ125" s="323" t="str">
        <f>IFERROR(VLOOKUP($B125&amp;"_"&amp;J125,'LCA data'!$B$7:$X$238,2,FALSE),"")</f>
        <v/>
      </c>
      <c r="AK125" s="323" t="str">
        <f>IFERROR(IF(M125&gt;0,VLOOKUP(B125&amp;"_"&amp;J125,'LCA data'!$B$7:$X$200,19,FALSE)*(K125*10^3)*C125,""),"")</f>
        <v/>
      </c>
      <c r="AL125" s="323" t="str">
        <f>IFERROR(AJ125+VLOOKUP(B125&amp;"_"&amp;J125,'LCA data'!$B$7:$X$238,2,FALSE),"")</f>
        <v/>
      </c>
      <c r="AM125" s="323" t="str">
        <f>IFERROR(IF(M125-1&gt;0,VLOOKUP(B125&amp;"_"&amp;J125,'LCA data'!$B$7:$X$200,19,FALSE)*(K125*10^3)*C125,""),"")</f>
        <v/>
      </c>
      <c r="AN125" s="323" t="str">
        <f>IFERROR(AL125+VLOOKUP(B125&amp;"_"&amp;J125,'LCA data'!$B$7:$X$238,2,FALSE),"")</f>
        <v/>
      </c>
      <c r="AO125" s="323" t="str">
        <f>IFERROR(IF(M125-2&gt;0,VLOOKUP(B125&amp;"_"&amp;J125,'LCA data'!$B$7:$X$200,19,FALSE)*(K125*10^3)*C125,""),"")</f>
        <v/>
      </c>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323"/>
      <c r="CF125" s="323"/>
      <c r="CG125" s="323"/>
      <c r="CH125" s="323"/>
      <c r="CI125" s="323"/>
      <c r="CJ125" s="323"/>
      <c r="CK125" s="323"/>
      <c r="CL125" s="323"/>
      <c r="CM125" s="323"/>
      <c r="CN125" s="323"/>
      <c r="CO125" s="323"/>
      <c r="CP125" s="431"/>
      <c r="CQ125" s="434"/>
      <c r="CR125" s="323"/>
      <c r="CS125" s="323"/>
      <c r="CT125" s="323"/>
      <c r="CU125" s="323"/>
      <c r="CV125" s="323"/>
      <c r="CW125" s="323"/>
      <c r="CX125" s="323"/>
      <c r="CY125" s="323"/>
      <c r="CZ125" s="323"/>
      <c r="EK125" s="1070"/>
      <c r="EL125" s="1070"/>
      <c r="EM125" s="1070"/>
      <c r="EN125" s="1070"/>
      <c r="EO125" s="1070"/>
      <c r="EP125" s="1070"/>
      <c r="EQ125" s="1070"/>
    </row>
    <row r="126" spans="2:222" ht="18.649999999999999" customHeight="1" thickBot="1" x14ac:dyDescent="0.5">
      <c r="C126" s="222"/>
      <c r="E126" s="223"/>
      <c r="F126" s="223"/>
      <c r="G126" s="223"/>
      <c r="H126" s="223"/>
      <c r="J126" s="223"/>
      <c r="K126" s="223"/>
      <c r="L126" s="223"/>
      <c r="M126" s="223"/>
      <c r="N126" s="223"/>
      <c r="O126" s="223"/>
      <c r="P126" s="223"/>
      <c r="Q126" s="220"/>
      <c r="S126" s="217"/>
      <c r="V126" s="251"/>
      <c r="W126" s="323"/>
      <c r="X126" s="323"/>
      <c r="Y126" s="323"/>
      <c r="Z126" s="323"/>
      <c r="AA126" s="323"/>
      <c r="AB126" s="323"/>
      <c r="AC126" s="323"/>
      <c r="AD126" s="323"/>
      <c r="AE126" s="323"/>
      <c r="AF126" s="323"/>
      <c r="AG126" s="323"/>
      <c r="AH126" s="323"/>
      <c r="AI126" s="323" t="str">
        <f>IFERROR(VLOOKUP(B126&amp;"_"&amp;J126,'LCA data'!$B$7:$X$200,19,FALSE)*(K126*10^3)*C126,"")</f>
        <v/>
      </c>
      <c r="AJ126" s="323" t="str">
        <f>IFERROR(VLOOKUP($B126&amp;"_"&amp;J126,'LCA data'!$B$7:$X$238,2,FALSE),"")</f>
        <v/>
      </c>
      <c r="AK126" s="323" t="str">
        <f>IFERROR(IF(M126&gt;0,VLOOKUP(B126&amp;"_"&amp;J126,'LCA data'!$B$7:$X$200,19,FALSE)*(K126*10^3)*C126,""),"")</f>
        <v/>
      </c>
      <c r="AL126" s="323" t="str">
        <f>IFERROR(AJ126+VLOOKUP(B126&amp;"_"&amp;J126,'LCA data'!$B$7:$X$238,2,FALSE),"")</f>
        <v/>
      </c>
      <c r="AM126" s="323" t="str">
        <f>IFERROR(IF(M126-1&gt;0,VLOOKUP(B126&amp;"_"&amp;J126,'LCA data'!$B$7:$X$200,19,FALSE)*(K126*10^3)*C126,""),"")</f>
        <v/>
      </c>
      <c r="AN126" s="323" t="str">
        <f>IFERROR(AL126+VLOOKUP(B126&amp;"_"&amp;J126,'LCA data'!$B$7:$X$238,2,FALSE),"")</f>
        <v/>
      </c>
      <c r="AO126" s="323" t="str">
        <f>IFERROR(IF(M126-2&gt;0,VLOOKUP(B126&amp;"_"&amp;J126,'LCA data'!$B$7:$X$200,19,FALSE)*(K126*10^3)*C126,""),"")</f>
        <v/>
      </c>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c r="BO126" s="323"/>
      <c r="BP126" s="323"/>
      <c r="BQ126" s="323"/>
      <c r="BR126" s="323"/>
      <c r="BS126" s="323"/>
      <c r="BT126" s="323"/>
      <c r="BU126" s="323"/>
      <c r="BV126" s="323"/>
      <c r="BW126" s="323"/>
      <c r="BX126" s="323"/>
      <c r="BY126" s="323"/>
      <c r="BZ126" s="323"/>
      <c r="CA126" s="323"/>
      <c r="CB126" s="323"/>
      <c r="CC126" s="323"/>
      <c r="CD126" s="323"/>
      <c r="CE126" s="323"/>
      <c r="CF126" s="323"/>
      <c r="CG126" s="323"/>
      <c r="CH126" s="323"/>
      <c r="CI126" s="323"/>
      <c r="CJ126" s="323"/>
      <c r="CK126" s="323"/>
      <c r="CL126" s="323"/>
      <c r="CM126" s="323"/>
      <c r="CN126" s="323"/>
      <c r="CO126" s="323"/>
      <c r="CP126" s="431"/>
      <c r="CQ126" s="433"/>
      <c r="CR126" s="323"/>
      <c r="CS126" s="323"/>
      <c r="CT126" s="323"/>
      <c r="CU126" s="323"/>
      <c r="CV126" s="323"/>
      <c r="CW126" s="323"/>
      <c r="CX126" s="323"/>
      <c r="CY126" s="323"/>
      <c r="CZ126" s="323"/>
      <c r="EK126" s="1070"/>
      <c r="EL126" s="1070"/>
      <c r="EM126" s="1070"/>
      <c r="EN126" s="1070"/>
      <c r="EO126" s="1070"/>
      <c r="EP126" s="1070"/>
      <c r="EQ126" s="1070"/>
    </row>
    <row r="127" spans="2:222" s="224" customFormat="1" ht="41.25" customHeight="1" x14ac:dyDescent="0.35">
      <c r="B127" s="502" t="s">
        <v>113</v>
      </c>
      <c r="C127" s="503"/>
      <c r="D127" s="504"/>
      <c r="E127" s="504"/>
      <c r="F127" s="503"/>
      <c r="G127" s="503"/>
      <c r="H127" s="503"/>
      <c r="I127" s="503"/>
      <c r="J127" s="504"/>
      <c r="K127" s="503"/>
      <c r="L127" s="503"/>
      <c r="M127" s="503"/>
      <c r="N127" s="503"/>
      <c r="O127" s="503"/>
      <c r="P127" s="503"/>
      <c r="Q127" s="503"/>
      <c r="R127" s="503"/>
      <c r="S127" s="505"/>
      <c r="T127" s="225"/>
      <c r="U127" s="225"/>
      <c r="V127" s="326"/>
      <c r="W127" s="323"/>
      <c r="X127" s="323"/>
      <c r="Y127" s="323"/>
      <c r="Z127" s="323"/>
      <c r="AA127" s="323"/>
      <c r="AB127" s="323"/>
      <c r="AC127" s="323"/>
      <c r="AD127" s="323"/>
      <c r="AE127" s="323"/>
      <c r="AF127" s="323"/>
      <c r="AG127" s="323"/>
      <c r="AH127" s="323"/>
      <c r="AI127" s="323"/>
      <c r="AJ127" s="323" t="s">
        <v>746</v>
      </c>
      <c r="AK127" s="323" t="s">
        <v>747</v>
      </c>
      <c r="AL127" s="323" t="str">
        <f>IFERROR(AJ127+VLOOKUP(B127&amp;"_"&amp;J127,'LCA data'!$B$7:$X$238,2,FALSE),"")</f>
        <v/>
      </c>
      <c r="AM127" s="323" t="str">
        <f>IFERROR(IF(M127-1&gt;0,VLOOKUP(B127&amp;"_"&amp;J127,'LCA data'!$B$7:$X$200,19,FALSE)*(K127*10^3)*C127,""),"")</f>
        <v/>
      </c>
      <c r="AN127" s="323" t="str">
        <f>IFERROR(AL127+VLOOKUP(B127&amp;"_"&amp;J127,'LCA data'!$B$7:$X$238,2,FALSE),"")</f>
        <v/>
      </c>
      <c r="AO127" s="323" t="str">
        <f>IFERROR(IF(M127-2&gt;0,VLOOKUP(B127&amp;"_"&amp;J127,'LCA data'!$B$7:$X$200,19,FALSE)*(K127*10^3)*C127,""),"")</f>
        <v/>
      </c>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c r="BO127" s="323"/>
      <c r="BP127" s="323"/>
      <c r="BQ127" s="323"/>
      <c r="BR127" s="323"/>
      <c r="BS127" s="323"/>
      <c r="BT127" s="323"/>
      <c r="BU127" s="323"/>
      <c r="BV127" s="323"/>
      <c r="BW127" s="323"/>
      <c r="BX127" s="323"/>
      <c r="BY127" s="323"/>
      <c r="BZ127" s="323"/>
      <c r="CA127" s="323"/>
      <c r="CB127" s="323"/>
      <c r="CC127" s="323"/>
      <c r="CD127" s="323"/>
      <c r="CE127" s="323"/>
      <c r="CF127" s="323"/>
      <c r="CG127" s="323"/>
      <c r="CH127" s="323"/>
      <c r="CI127" s="323"/>
      <c r="CJ127" s="323"/>
      <c r="CK127" s="323"/>
      <c r="CL127" s="323"/>
      <c r="CM127" s="323"/>
      <c r="CN127" s="323"/>
      <c r="CO127" s="323"/>
      <c r="CP127" s="431"/>
      <c r="CQ127" s="433"/>
      <c r="CR127" s="323"/>
      <c r="CS127" s="323"/>
      <c r="CT127" s="323"/>
      <c r="CU127" s="323"/>
      <c r="CV127" s="323"/>
      <c r="CW127" s="323"/>
      <c r="CX127" s="323"/>
      <c r="CY127" s="323"/>
      <c r="CZ127" s="323"/>
      <c r="DA127" s="326"/>
      <c r="DB127" s="326"/>
      <c r="DC127" s="326"/>
      <c r="DD127" s="326"/>
      <c r="DE127" s="326"/>
      <c r="DF127" s="326"/>
      <c r="DG127" s="326"/>
      <c r="DH127" s="326"/>
      <c r="DI127" s="326"/>
      <c r="DJ127" s="326"/>
      <c r="DK127" s="326"/>
      <c r="DL127" s="326"/>
      <c r="DM127" s="326"/>
      <c r="DN127" s="326"/>
      <c r="DO127" s="326"/>
      <c r="DP127" s="326"/>
      <c r="DQ127" s="326"/>
      <c r="DR127" s="326"/>
      <c r="DS127" s="326"/>
      <c r="DT127" s="326"/>
      <c r="DU127" s="326"/>
      <c r="DV127" s="326"/>
      <c r="DW127" s="326"/>
      <c r="DX127" s="326"/>
      <c r="DY127" s="326"/>
      <c r="DZ127" s="326"/>
      <c r="EA127" s="326"/>
      <c r="EB127" s="326"/>
      <c r="EC127" s="326"/>
      <c r="ED127" s="326"/>
      <c r="EE127" s="326"/>
      <c r="EF127" s="326"/>
      <c r="EG127" s="326"/>
      <c r="EH127" s="326"/>
      <c r="EI127" s="326"/>
      <c r="EJ127" s="326"/>
      <c r="EK127" s="1073"/>
      <c r="EL127" s="1073"/>
      <c r="EM127" s="1073"/>
      <c r="EN127" s="1073"/>
      <c r="EO127" s="1073"/>
      <c r="EP127" s="1073"/>
      <c r="EQ127" s="1073"/>
      <c r="ER127" s="326"/>
      <c r="ES127" s="326"/>
      <c r="ET127" s="326"/>
      <c r="EU127" s="326"/>
      <c r="EV127" s="326"/>
      <c r="EW127" s="326"/>
      <c r="EX127" s="326"/>
      <c r="EY127" s="326"/>
      <c r="EZ127" s="326"/>
      <c r="FA127" s="326"/>
      <c r="FB127" s="326"/>
      <c r="FC127" s="326"/>
      <c r="FD127" s="326"/>
      <c r="FE127" s="326"/>
      <c r="FF127" s="326"/>
      <c r="FG127" s="326"/>
      <c r="FH127" s="326"/>
      <c r="FI127" s="326"/>
      <c r="FJ127" s="326"/>
      <c r="FK127" s="326"/>
      <c r="FL127" s="326"/>
      <c r="FM127" s="326"/>
      <c r="FN127" s="326"/>
      <c r="FO127" s="326"/>
      <c r="FP127" s="326"/>
      <c r="FQ127" s="326"/>
      <c r="FR127" s="326"/>
      <c r="FS127" s="326"/>
      <c r="FT127" s="326"/>
      <c r="FU127" s="326"/>
      <c r="FV127" s="326"/>
      <c r="FW127" s="326"/>
      <c r="FX127" s="326"/>
      <c r="FY127" s="326"/>
      <c r="FZ127" s="326"/>
      <c r="GA127" s="326"/>
      <c r="GB127" s="326"/>
      <c r="GC127" s="326"/>
      <c r="GD127" s="326"/>
      <c r="GE127" s="326"/>
      <c r="GF127" s="326"/>
      <c r="GG127" s="326"/>
      <c r="GH127" s="326"/>
      <c r="GI127" s="326"/>
      <c r="GJ127" s="326"/>
      <c r="GK127" s="326"/>
      <c r="GL127" s="326"/>
      <c r="GM127" s="326"/>
      <c r="GN127" s="326"/>
      <c r="GO127" s="326"/>
      <c r="GP127" s="326"/>
      <c r="GQ127" s="326"/>
      <c r="GR127" s="326"/>
      <c r="GS127" s="326"/>
      <c r="GT127" s="326"/>
      <c r="GU127" s="326"/>
      <c r="GV127" s="326"/>
      <c r="GW127" s="326"/>
      <c r="GX127" s="326"/>
      <c r="GY127" s="326"/>
      <c r="GZ127" s="326"/>
      <c r="HA127" s="326"/>
      <c r="HB127" s="326"/>
      <c r="HC127" s="326"/>
      <c r="HD127" s="326"/>
      <c r="HE127" s="326"/>
      <c r="HF127" s="326"/>
      <c r="HG127" s="326"/>
      <c r="HH127" s="326"/>
      <c r="HI127" s="326"/>
      <c r="HJ127" s="326"/>
      <c r="HK127" s="326"/>
      <c r="HL127" s="326"/>
      <c r="HM127" s="326"/>
      <c r="HN127" s="326"/>
    </row>
    <row r="128" spans="2:222" ht="13.4" customHeight="1" x14ac:dyDescent="0.45">
      <c r="B128" s="226"/>
      <c r="C128" s="222"/>
      <c r="E128" s="223"/>
      <c r="F128" s="223"/>
      <c r="G128" s="223"/>
      <c r="H128" s="223"/>
      <c r="J128" s="223"/>
      <c r="K128" s="223"/>
      <c r="L128" s="223"/>
      <c r="M128" s="223"/>
      <c r="N128" s="223"/>
      <c r="O128" s="223"/>
      <c r="P128" s="223"/>
      <c r="Q128" s="220"/>
      <c r="S128" s="227"/>
      <c r="V128" s="251"/>
      <c r="W128" s="323"/>
      <c r="X128" s="323"/>
      <c r="Y128" s="323"/>
      <c r="Z128" s="323"/>
      <c r="AA128" s="323"/>
      <c r="AB128" s="323"/>
      <c r="AC128" s="323"/>
      <c r="AD128" s="323"/>
      <c r="AE128" s="323"/>
      <c r="AF128" s="323"/>
      <c r="AG128" s="323"/>
      <c r="AH128" s="323"/>
      <c r="AI128" s="323" t="str">
        <f>'LCA data'!$B$77</f>
        <v>Tagbelægning</v>
      </c>
      <c r="AJ128" s="323">
        <f t="shared" ref="AJ128:AK131" si="12">AJ139+AJ149+AJ159+AJ169+AJ179</f>
        <v>207490</v>
      </c>
      <c r="AK128" s="323">
        <f t="shared" si="12"/>
        <v>247200</v>
      </c>
      <c r="AL128" s="323" t="str">
        <f>IFERROR(AJ128+VLOOKUP(B128&amp;"_"&amp;J128,'LCA data'!$B$7:$X$238,2,FALSE),"")</f>
        <v/>
      </c>
      <c r="AM128" s="323" t="str">
        <f>IFERROR(IF(M128-1&gt;0,VLOOKUP(B128&amp;"_"&amp;J128,'LCA data'!$B$7:$X$200,19,FALSE)*(K128*10^3)*C128,""),"")</f>
        <v/>
      </c>
      <c r="AN128" s="323" t="str">
        <f>IFERROR(AL128+VLOOKUP(B128&amp;"_"&amp;J128,'LCA data'!$B$7:$X$238,2,FALSE),"")</f>
        <v/>
      </c>
      <c r="AO128" s="323" t="str">
        <f>IFERROR(IF(M128-2&gt;0,VLOOKUP(B128&amp;"_"&amp;J128,'LCA data'!$B$7:$X$200,19,FALSE)*(K128*10^3)*C128,""),"")</f>
        <v/>
      </c>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M128" s="323"/>
      <c r="CN128" s="323"/>
      <c r="CO128" s="323"/>
      <c r="CP128" s="435"/>
      <c r="CQ128" s="433"/>
      <c r="CR128" s="323"/>
      <c r="CS128" s="323"/>
      <c r="CT128" s="323"/>
      <c r="CU128" s="323"/>
      <c r="CV128" s="323"/>
      <c r="CW128" s="323"/>
      <c r="CX128" s="323"/>
      <c r="CY128" s="323"/>
      <c r="CZ128" s="323"/>
      <c r="EK128" s="1070"/>
      <c r="EL128" s="1070"/>
      <c r="EM128" s="1070"/>
      <c r="EN128" s="1070"/>
      <c r="EO128" s="1070"/>
      <c r="EP128" s="1070"/>
      <c r="EQ128" s="1070"/>
    </row>
    <row r="129" spans="2:222" ht="25.4" customHeight="1" x14ac:dyDescent="0.45">
      <c r="B129" s="226"/>
      <c r="C129" s="222"/>
      <c r="E129" s="223"/>
      <c r="F129" s="223"/>
      <c r="G129" s="223"/>
      <c r="H129" s="223"/>
      <c r="J129" s="223"/>
      <c r="K129" s="223"/>
      <c r="L129" s="223"/>
      <c r="M129" s="223"/>
      <c r="N129" s="223"/>
      <c r="O129" s="223"/>
      <c r="P129" s="223"/>
      <c r="Q129" s="220"/>
      <c r="S129" s="227"/>
      <c r="V129" s="251"/>
      <c r="W129" s="323"/>
      <c r="X129" s="323"/>
      <c r="Y129" s="323"/>
      <c r="Z129" s="323"/>
      <c r="AA129" s="323"/>
      <c r="AB129" s="323"/>
      <c r="AC129" s="323"/>
      <c r="AD129" s="323"/>
      <c r="AE129" s="323"/>
      <c r="AF129" s="323"/>
      <c r="AG129" s="323"/>
      <c r="AH129" s="323"/>
      <c r="AI129" s="323" t="s">
        <v>209</v>
      </c>
      <c r="AJ129" s="323">
        <f t="shared" si="12"/>
        <v>80100.000000000015</v>
      </c>
      <c r="AK129" s="323">
        <f t="shared" si="12"/>
        <v>62829.714285714297</v>
      </c>
      <c r="AL129" s="323" t="str">
        <f>IFERROR(AJ129+VLOOKUP(B129&amp;"_"&amp;J129,'LCA data'!$B$7:$X$238,2,FALSE),"")</f>
        <v/>
      </c>
      <c r="AM129" s="323" t="str">
        <f>IFERROR(IF(M129-1&gt;0,VLOOKUP(B129&amp;"_"&amp;J129,'LCA data'!$B$7:$X$200,19,FALSE)*(K129*10^3)*C129,""),"")</f>
        <v/>
      </c>
      <c r="AN129" s="323" t="str">
        <f>IFERROR(AL129+VLOOKUP(B129&amp;"_"&amp;J129,'LCA data'!$B$7:$X$238,2,FALSE),"")</f>
        <v/>
      </c>
      <c r="AO129" s="323" t="str">
        <f>IFERROR(IF(M129-2&gt;0,VLOOKUP(B129&amp;"_"&amp;J129,'LCA data'!$B$7:$X$200,19,FALSE)*(K129*10^3)*C129,""),"")</f>
        <v/>
      </c>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A129" s="323"/>
      <c r="CB129" s="323"/>
      <c r="CC129" s="323"/>
      <c r="CD129" s="323"/>
      <c r="CE129" s="323"/>
      <c r="CF129" s="323"/>
      <c r="CG129" s="323"/>
      <c r="CH129" s="323"/>
      <c r="CI129" s="323"/>
      <c r="CJ129" s="323"/>
      <c r="CK129" s="323"/>
      <c r="CL129" s="323"/>
      <c r="CM129" s="323"/>
      <c r="CN129" s="323"/>
      <c r="CO129" s="323"/>
      <c r="CP129" s="436"/>
      <c r="CQ129" s="433"/>
      <c r="CR129" s="323"/>
      <c r="CS129" s="323"/>
      <c r="CT129" s="323"/>
      <c r="CU129" s="323"/>
      <c r="CV129" s="323"/>
      <c r="CW129" s="323"/>
      <c r="CX129" s="323"/>
      <c r="CY129" s="323"/>
      <c r="CZ129" s="323"/>
      <c r="EK129" s="1070"/>
      <c r="EL129" s="1070"/>
      <c r="EM129" s="1070"/>
      <c r="EN129" s="1070"/>
      <c r="EO129" s="1070"/>
      <c r="EP129" s="1070"/>
      <c r="EQ129" s="1070"/>
    </row>
    <row r="130" spans="2:222" ht="25.4" customHeight="1" thickBot="1" x14ac:dyDescent="0.5">
      <c r="B130" s="226"/>
      <c r="C130" s="222"/>
      <c r="E130" s="223"/>
      <c r="F130" s="223"/>
      <c r="G130" s="223"/>
      <c r="H130" s="223"/>
      <c r="J130" s="223"/>
      <c r="K130" s="223"/>
      <c r="L130" s="223"/>
      <c r="M130" s="223"/>
      <c r="N130" s="223"/>
      <c r="O130" s="223"/>
      <c r="P130" s="223"/>
      <c r="Q130" s="220"/>
      <c r="S130" s="227"/>
      <c r="V130" s="251"/>
      <c r="W130" s="323"/>
      <c r="X130" s="323"/>
      <c r="Y130" s="323"/>
      <c r="Z130" s="323"/>
      <c r="AA130" s="323"/>
      <c r="AB130" s="323"/>
      <c r="AC130" s="323"/>
      <c r="AD130" s="323"/>
      <c r="AE130" s="323"/>
      <c r="AF130" s="323"/>
      <c r="AG130" s="323"/>
      <c r="AH130" s="323"/>
      <c r="AI130" s="323" t="str">
        <f>'LCA data'!$B$93</f>
        <v>Tagkonstruktion</v>
      </c>
      <c r="AJ130" s="323">
        <f t="shared" si="12"/>
        <v>204904</v>
      </c>
      <c r="AK130" s="323">
        <f t="shared" si="12"/>
        <v>51398</v>
      </c>
      <c r="AL130" s="323" t="str">
        <f>IFERROR(AJ130+VLOOKUP(B130&amp;"_"&amp;J130,'LCA data'!$B$7:$X$238,2,FALSE),"")</f>
        <v/>
      </c>
      <c r="AM130" s="323" t="str">
        <f>IFERROR(IF(M130-1&gt;0,VLOOKUP(B130&amp;"_"&amp;J130,'LCA data'!$B$7:$X$200,19,FALSE)*(K130*10^3)*C130,""),"")</f>
        <v/>
      </c>
      <c r="AN130" s="323" t="str">
        <f>IFERROR(AL130+VLOOKUP(B130&amp;"_"&amp;J130,'LCA data'!$B$7:$X$238,2,FALSE),"")</f>
        <v/>
      </c>
      <c r="AO130" s="323" t="str">
        <f>IFERROR(IF(M130-2&gt;0,VLOOKUP(B130&amp;"_"&amp;J130,'LCA data'!$B$7:$X$200,19,FALSE)*(K130*10^3)*C130,""),"")</f>
        <v/>
      </c>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c r="BN130" s="323"/>
      <c r="BO130" s="323"/>
      <c r="BP130" s="323"/>
      <c r="BQ130" s="323"/>
      <c r="BR130" s="323"/>
      <c r="BS130" s="323"/>
      <c r="BT130" s="323"/>
      <c r="BU130" s="323"/>
      <c r="BV130" s="323"/>
      <c r="BW130" s="323"/>
      <c r="BX130" s="323"/>
      <c r="BY130" s="323"/>
      <c r="BZ130" s="323"/>
      <c r="CA130" s="323"/>
      <c r="CB130" s="323"/>
      <c r="CC130" s="323"/>
      <c r="CD130" s="323"/>
      <c r="CE130" s="323"/>
      <c r="CF130" s="323"/>
      <c r="CG130" s="323"/>
      <c r="CH130" s="323"/>
      <c r="CI130" s="323"/>
      <c r="CJ130" s="323"/>
      <c r="CK130" s="323"/>
      <c r="CL130" s="323"/>
      <c r="CM130" s="323"/>
      <c r="CN130" s="323"/>
      <c r="CO130" s="323"/>
      <c r="CP130" s="437"/>
      <c r="CQ130" s="438"/>
      <c r="CR130" s="323"/>
      <c r="CS130" s="323"/>
      <c r="CT130" s="323"/>
      <c r="CU130" s="323"/>
      <c r="CV130" s="323"/>
      <c r="CW130" s="323"/>
      <c r="CX130" s="323"/>
      <c r="CY130" s="323"/>
      <c r="CZ130" s="323"/>
      <c r="EK130" s="1070"/>
      <c r="EL130" s="1070"/>
      <c r="EM130" s="1070"/>
      <c r="EN130" s="1070"/>
      <c r="EO130" s="1070"/>
      <c r="EP130" s="1070"/>
      <c r="EQ130" s="1070"/>
    </row>
    <row r="131" spans="2:222" ht="25.4" customHeight="1" x14ac:dyDescent="0.45">
      <c r="B131" s="226"/>
      <c r="C131" s="222"/>
      <c r="E131" s="223"/>
      <c r="F131" s="223"/>
      <c r="G131" s="223"/>
      <c r="H131" s="223"/>
      <c r="J131" s="223"/>
      <c r="K131" s="223"/>
      <c r="L131" s="223"/>
      <c r="M131" s="223"/>
      <c r="N131" s="223"/>
      <c r="O131" s="223"/>
      <c r="P131" s="223"/>
      <c r="Q131" s="220"/>
      <c r="S131" s="227"/>
      <c r="V131" s="251"/>
      <c r="W131" s="323"/>
      <c r="X131" s="323">
        <f>VLOOKUP(B142&amp;"_"&amp;E142,'LCA data'!$B$7:$X$360,19,FALSE)</f>
        <v>0.55321881846153842</v>
      </c>
      <c r="Y131" s="323"/>
      <c r="Z131" s="323"/>
      <c r="AA131" s="323"/>
      <c r="AB131" s="323"/>
      <c r="AC131" s="323"/>
      <c r="AD131" s="323"/>
      <c r="AE131" s="323"/>
      <c r="AF131" s="323"/>
      <c r="AG131" s="323"/>
      <c r="AH131" s="323"/>
      <c r="AI131" s="323" t="str">
        <f>'LCA data'!$B$105</f>
        <v>Loftsbeklædning</v>
      </c>
      <c r="AJ131" s="323">
        <f t="shared" si="12"/>
        <v>18988</v>
      </c>
      <c r="AK131" s="323">
        <f t="shared" si="12"/>
        <v>109033.99999999999</v>
      </c>
      <c r="AL131" s="323" t="str">
        <f>IFERROR(AJ131+VLOOKUP(B131&amp;"_"&amp;J131,'LCA data'!$B$7:$X$238,2,FALSE),"")</f>
        <v/>
      </c>
      <c r="AM131" s="323" t="str">
        <f>IFERROR(IF(M131-1&gt;0,VLOOKUP(B131&amp;"_"&amp;J131,'LCA data'!$B$7:$X$200,19,FALSE)*(K131*10^3)*C131,""),"")</f>
        <v/>
      </c>
      <c r="AN131" s="323" t="str">
        <f>IFERROR(AL131+VLOOKUP(B131&amp;"_"&amp;J131,'LCA data'!$B$7:$X$238,2,FALSE),"")</f>
        <v/>
      </c>
      <c r="AO131" s="323" t="str">
        <f>IFERROR(IF(M131-2&gt;0,VLOOKUP(B131&amp;"_"&amp;J131,'LCA data'!$B$7:$X$200,19,FALSE)*(K131*10^3)*C131,""),"")</f>
        <v/>
      </c>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c r="BP131" s="323"/>
      <c r="BQ131" s="323"/>
      <c r="BR131" s="323"/>
      <c r="BS131" s="323"/>
      <c r="BT131" s="323"/>
      <c r="BU131" s="323"/>
      <c r="BV131" s="323"/>
      <c r="BW131" s="323"/>
      <c r="BX131" s="323"/>
      <c r="BY131" s="323"/>
      <c r="BZ131" s="323"/>
      <c r="CA131" s="323"/>
      <c r="CB131" s="323"/>
      <c r="CC131" s="323"/>
      <c r="CD131" s="323"/>
      <c r="CE131" s="323"/>
      <c r="CF131" s="323"/>
      <c r="CG131" s="323"/>
      <c r="CH131" s="323"/>
      <c r="CI131" s="323"/>
      <c r="CJ131" s="323"/>
      <c r="CK131" s="323"/>
      <c r="CL131" s="323"/>
      <c r="CM131" s="323"/>
      <c r="CN131" s="323"/>
      <c r="CO131" s="323"/>
      <c r="CP131" s="439"/>
      <c r="CQ131" s="440"/>
      <c r="CR131" s="323"/>
      <c r="CS131" s="323"/>
      <c r="CT131" s="323"/>
      <c r="CU131" s="323"/>
      <c r="CV131" s="323"/>
      <c r="CW131" s="323"/>
      <c r="CX131" s="323"/>
      <c r="CY131" s="323"/>
      <c r="CZ131" s="323"/>
      <c r="EK131" s="1070"/>
      <c r="EL131" s="1070"/>
      <c r="EM131" s="1070"/>
      <c r="EN131" s="1070"/>
      <c r="EO131" s="1070"/>
      <c r="EP131" s="1070"/>
      <c r="EQ131" s="1070"/>
    </row>
    <row r="132" spans="2:222" ht="25.4" customHeight="1" x14ac:dyDescent="0.45">
      <c r="B132" s="226"/>
      <c r="C132" s="222"/>
      <c r="E132" s="223"/>
      <c r="F132" s="223"/>
      <c r="G132" s="223"/>
      <c r="H132" s="223"/>
      <c r="J132" s="223"/>
      <c r="K132" s="223"/>
      <c r="L132" s="223"/>
      <c r="M132" s="223"/>
      <c r="N132" s="223"/>
      <c r="O132" s="223"/>
      <c r="P132" s="223"/>
      <c r="Q132" s="220"/>
      <c r="S132" s="227"/>
      <c r="V132" s="251"/>
      <c r="W132" s="323"/>
      <c r="X132" s="323"/>
      <c r="Y132" s="323"/>
      <c r="Z132" s="323"/>
      <c r="AA132" s="323"/>
      <c r="AB132" s="323"/>
      <c r="AC132" s="323"/>
      <c r="AD132" s="323"/>
      <c r="AE132" s="323"/>
      <c r="AF132" s="323"/>
      <c r="AG132" s="323"/>
      <c r="AH132" s="323"/>
      <c r="AI132" s="323" t="s">
        <v>743</v>
      </c>
      <c r="AJ132" s="323">
        <f>SUM(AJ128:AJ131)</f>
        <v>511482</v>
      </c>
      <c r="AK132" s="323">
        <f>SUM(AK128:AK131)</f>
        <v>470461.71428571432</v>
      </c>
      <c r="AL132" s="323" t="str">
        <f>IFERROR(AJ132+VLOOKUP(B132&amp;"_"&amp;J132,'LCA data'!$B$7:$X$238,2,FALSE),"")</f>
        <v/>
      </c>
      <c r="AM132" s="323" t="str">
        <f>IFERROR(IF(M132-1&gt;0,VLOOKUP(B132&amp;"_"&amp;J132,'LCA data'!$B$7:$X$200,19,FALSE)*(K132*10^3)*C132,""),"")</f>
        <v/>
      </c>
      <c r="AN132" s="323" t="str">
        <f>IFERROR(AL132+VLOOKUP(B132&amp;"_"&amp;J132,'LCA data'!$B$7:$X$238,2,FALSE),"")</f>
        <v/>
      </c>
      <c r="AO132" s="323" t="str">
        <f>IFERROR(IF(M132-2&gt;0,VLOOKUP(B132&amp;"_"&amp;J132,'LCA data'!$B$7:$X$200,19,FALSE)*(K132*10^3)*C132,""),"")</f>
        <v/>
      </c>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c r="BP132" s="323"/>
      <c r="BQ132" s="323"/>
      <c r="BR132" s="323"/>
      <c r="BS132" s="323"/>
      <c r="BT132" s="323"/>
      <c r="BU132" s="323"/>
      <c r="BV132" s="323"/>
      <c r="BW132" s="323"/>
      <c r="BX132" s="323"/>
      <c r="BY132" s="323"/>
      <c r="BZ132" s="323"/>
      <c r="CA132" s="323"/>
      <c r="CB132" s="323"/>
      <c r="CC132" s="323"/>
      <c r="CD132" s="323"/>
      <c r="CE132" s="323"/>
      <c r="CF132" s="323"/>
      <c r="CG132" s="323"/>
      <c r="CH132" s="323"/>
      <c r="CI132" s="323"/>
      <c r="CJ132" s="323"/>
      <c r="CK132" s="323"/>
      <c r="CL132" s="323"/>
      <c r="CM132" s="323"/>
      <c r="CN132" s="323"/>
      <c r="CO132" s="323"/>
      <c r="CP132" s="428"/>
      <c r="CQ132" s="441"/>
      <c r="CR132" s="323"/>
      <c r="CS132" s="323"/>
      <c r="CT132" s="323"/>
      <c r="CU132" s="323"/>
      <c r="CV132" s="323"/>
      <c r="CW132" s="323"/>
      <c r="CX132" s="323"/>
      <c r="CY132" s="323"/>
      <c r="CZ132" s="323"/>
      <c r="EK132" s="1070"/>
      <c r="EL132" s="1070"/>
      <c r="EM132" s="1070"/>
      <c r="EN132" s="1070"/>
      <c r="EO132" s="1070"/>
      <c r="EP132" s="1070"/>
      <c r="EQ132" s="1070"/>
    </row>
    <row r="133" spans="2:222" ht="25.4" customHeight="1" x14ac:dyDescent="0.45">
      <c r="B133" s="226"/>
      <c r="C133" s="221"/>
      <c r="E133" s="228"/>
      <c r="F133" s="228"/>
      <c r="G133" s="228"/>
      <c r="H133" s="228"/>
      <c r="J133" s="228"/>
      <c r="K133" s="228"/>
      <c r="L133" s="228"/>
      <c r="M133" s="228"/>
      <c r="N133" s="229"/>
      <c r="O133" s="229"/>
      <c r="P133" s="230"/>
      <c r="Q133" s="220"/>
      <c r="S133" s="231"/>
      <c r="T133" s="175"/>
      <c r="V133" s="251"/>
      <c r="W133" s="323"/>
      <c r="X133" s="323"/>
      <c r="Y133" s="323"/>
      <c r="Z133" s="323"/>
      <c r="AA133" s="323"/>
      <c r="AB133" s="323"/>
      <c r="AC133" s="323"/>
      <c r="AD133" s="323"/>
      <c r="AE133" s="323"/>
      <c r="AF133" s="323"/>
      <c r="AG133" s="323"/>
      <c r="AH133" s="323"/>
      <c r="AI133" s="323" t="str">
        <f>IFERROR(VLOOKUP(B133&amp;"_"&amp;J133,'LCA data'!$B$7:$X$200,19,FALSE)*(K133*10^3)*C133,"")</f>
        <v/>
      </c>
      <c r="AJ133" s="323" t="str">
        <f>IFERROR(VLOOKUP($B133&amp;"_"&amp;J133,'LCA data'!$B$7:$X$238,2,FALSE),"")</f>
        <v/>
      </c>
      <c r="AK133" s="323" t="str">
        <f>IFERROR(IF(M133&gt;0,VLOOKUP(B133&amp;"_"&amp;J133,'LCA data'!$B$7:$X$200,19,FALSE)*(K133*10^3)*C133,""),"")</f>
        <v/>
      </c>
      <c r="AL133" s="323" t="str">
        <f>IFERROR(AJ133+VLOOKUP(B133&amp;"_"&amp;J133,'LCA data'!$B$7:$X$238,2,FALSE),"")</f>
        <v/>
      </c>
      <c r="AM133" s="323" t="str">
        <f>IFERROR(IF(M133-1&gt;0,VLOOKUP(B133&amp;"_"&amp;J133,'LCA data'!$B$7:$X$200,19,FALSE)*(K133*10^3)*C133,""),"")</f>
        <v/>
      </c>
      <c r="AN133" s="323" t="str">
        <f>IFERROR(AL133+VLOOKUP(B133&amp;"_"&amp;J133,'LCA data'!$B$7:$X$238,2,FALSE),"")</f>
        <v/>
      </c>
      <c r="AO133" s="323" t="str">
        <f>IFERROR(IF(M133-2&gt;0,VLOOKUP(B133&amp;"_"&amp;J133,'LCA data'!$B$7:$X$200,19,FALSE)*(K133*10^3)*C133,""),"")</f>
        <v/>
      </c>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c r="BP133" s="323"/>
      <c r="BQ133" s="323"/>
      <c r="BR133" s="323"/>
      <c r="BS133" s="323"/>
      <c r="BT133" s="323"/>
      <c r="BU133" s="323"/>
      <c r="BV133" s="323"/>
      <c r="BW133" s="323"/>
      <c r="BX133" s="323"/>
      <c r="BY133" s="323"/>
      <c r="BZ133" s="323"/>
      <c r="CA133" s="323"/>
      <c r="CB133" s="323"/>
      <c r="CC133" s="323"/>
      <c r="CD133" s="323"/>
      <c r="CE133" s="323"/>
      <c r="CF133" s="323"/>
      <c r="CG133" s="323"/>
      <c r="CH133" s="323"/>
      <c r="CI133" s="323"/>
      <c r="CJ133" s="323"/>
      <c r="CK133" s="323"/>
      <c r="CL133" s="323"/>
      <c r="CM133" s="323"/>
      <c r="CN133" s="323"/>
      <c r="CO133" s="323"/>
      <c r="CP133" s="428"/>
      <c r="CQ133" s="441"/>
      <c r="CR133" s="323"/>
      <c r="CS133" s="323"/>
      <c r="CT133" s="323"/>
      <c r="CU133" s="323"/>
      <c r="CV133" s="323"/>
      <c r="CW133" s="323"/>
      <c r="CX133" s="323"/>
      <c r="CY133" s="323"/>
      <c r="CZ133" s="323"/>
      <c r="EK133" s="1070"/>
      <c r="EL133" s="1070"/>
      <c r="EM133" s="1070"/>
      <c r="EN133" s="1070"/>
      <c r="EO133" s="1070"/>
      <c r="EP133" s="1070"/>
      <c r="EQ133" s="1070"/>
    </row>
    <row r="134" spans="2:222" ht="25.4" customHeight="1" x14ac:dyDescent="0.45">
      <c r="B134" s="226"/>
      <c r="C134" s="221"/>
      <c r="E134" s="228"/>
      <c r="F134" s="228"/>
      <c r="G134" s="228"/>
      <c r="H134" s="228"/>
      <c r="J134" s="228"/>
      <c r="K134" s="228"/>
      <c r="L134" s="228"/>
      <c r="M134" s="228"/>
      <c r="N134" s="229"/>
      <c r="O134" s="229"/>
      <c r="P134" s="230"/>
      <c r="Q134" s="220"/>
      <c r="S134" s="231"/>
      <c r="T134" s="175"/>
      <c r="V134" s="251"/>
      <c r="W134" s="323"/>
      <c r="X134" s="323"/>
      <c r="Y134" s="323"/>
      <c r="Z134" s="323"/>
      <c r="AA134" s="323"/>
      <c r="AB134" s="323"/>
      <c r="AC134" s="323"/>
      <c r="AD134" s="323"/>
      <c r="AE134" s="323"/>
      <c r="AF134" s="323"/>
      <c r="AG134" s="323"/>
      <c r="AH134" s="323"/>
      <c r="AI134" s="323" t="str">
        <f>IFERROR(VLOOKUP(B134&amp;"_"&amp;J134,'LCA data'!$B$7:$X$200,19,FALSE)*(K134*10^3)*C134,"")</f>
        <v/>
      </c>
      <c r="AJ134" s="323" t="str">
        <f>IFERROR(VLOOKUP($B134&amp;"_"&amp;J134,'LCA data'!$B$7:$X$238,2,FALSE),"")</f>
        <v/>
      </c>
      <c r="AK134" s="323" t="str">
        <f>IFERROR(IF(M134&gt;0,VLOOKUP(B134&amp;"_"&amp;J134,'LCA data'!$B$7:$X$200,19,FALSE)*(K134*10^3)*C134,""),"")</f>
        <v/>
      </c>
      <c r="AL134" s="323" t="str">
        <f>IFERROR(AJ134+VLOOKUP(B134&amp;"_"&amp;J134,'LCA data'!$B$7:$X$238,2,FALSE),"")</f>
        <v/>
      </c>
      <c r="AM134" s="323" t="str">
        <f>IFERROR(IF(M134-1&gt;0,VLOOKUP(B134&amp;"_"&amp;J134,'LCA data'!$B$7:$X$200,19,FALSE)*(K134*10^3)*C134,""),"")</f>
        <v/>
      </c>
      <c r="AN134" s="323" t="s">
        <v>864</v>
      </c>
      <c r="AO134" s="323" t="s">
        <v>4</v>
      </c>
      <c r="AP134" s="323">
        <f>AN140+AN150+AN160+AN170+AN180</f>
        <v>-1411.8296599999999</v>
      </c>
      <c r="AQ134" s="323"/>
      <c r="AR134" s="323" t="s">
        <v>866</v>
      </c>
      <c r="AS134" s="323" t="s">
        <v>4</v>
      </c>
      <c r="AT134" s="323">
        <f>AR140+AR150+AR160+AR170+AR180</f>
        <v>879.83375999999998</v>
      </c>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A134" s="323"/>
      <c r="CB134" s="323"/>
      <c r="CC134" s="323"/>
      <c r="CD134" s="323"/>
      <c r="CE134" s="323"/>
      <c r="CF134" s="323"/>
      <c r="CG134" s="323"/>
      <c r="CH134" s="323"/>
      <c r="CI134" s="323"/>
      <c r="CJ134" s="323"/>
      <c r="CK134" s="323"/>
      <c r="CL134" s="323"/>
      <c r="CM134" s="323"/>
      <c r="CN134" s="323"/>
      <c r="CO134" s="323"/>
      <c r="CP134" s="661"/>
      <c r="CQ134" s="662"/>
      <c r="CR134" s="323"/>
      <c r="CS134" s="323"/>
      <c r="CT134" s="323"/>
      <c r="CU134" s="323"/>
      <c r="CV134" s="323"/>
      <c r="CW134" s="323"/>
      <c r="CX134" s="323"/>
      <c r="CY134" s="323"/>
      <c r="CZ134" s="323"/>
      <c r="EK134" s="1070"/>
      <c r="EL134" s="1070"/>
      <c r="EM134" s="1070"/>
      <c r="EN134" s="1070"/>
      <c r="EO134" s="1070"/>
      <c r="EP134" s="1070"/>
      <c r="EQ134" s="1070"/>
    </row>
    <row r="135" spans="2:222" ht="25.4" customHeight="1" x14ac:dyDescent="0.45">
      <c r="B135" s="226"/>
      <c r="C135" s="221"/>
      <c r="E135" s="228"/>
      <c r="F135" s="228"/>
      <c r="G135" s="228"/>
      <c r="H135" s="228"/>
      <c r="J135" s="228"/>
      <c r="K135" s="228"/>
      <c r="L135" s="228"/>
      <c r="M135" s="228"/>
      <c r="N135" s="229"/>
      <c r="O135" s="229"/>
      <c r="P135" s="230"/>
      <c r="Q135" s="220"/>
      <c r="S135" s="231"/>
      <c r="T135" s="175"/>
      <c r="V135" s="251"/>
      <c r="W135" s="323"/>
      <c r="X135" s="323"/>
      <c r="Y135" s="323"/>
      <c r="Z135" s="323"/>
      <c r="AA135" s="323"/>
      <c r="AB135" s="323"/>
      <c r="AC135" s="323"/>
      <c r="AD135" s="323"/>
      <c r="AE135" s="323"/>
      <c r="AF135" s="323"/>
      <c r="AG135" s="323"/>
      <c r="AH135" s="323"/>
      <c r="AI135" s="323"/>
      <c r="AJ135" s="323"/>
      <c r="AK135" s="323"/>
      <c r="AL135" s="323"/>
      <c r="AM135" s="323"/>
      <c r="AN135" s="323" t="s">
        <v>865</v>
      </c>
      <c r="AO135" s="323" t="s">
        <v>5</v>
      </c>
      <c r="AP135" s="323"/>
      <c r="AQ135" s="323">
        <f>AO140+AO150+AO160+AO170+AO180</f>
        <v>-7374.3384160451988</v>
      </c>
      <c r="AR135" s="323" t="s">
        <v>866</v>
      </c>
      <c r="AS135" s="323" t="s">
        <v>5</v>
      </c>
      <c r="AT135" s="323"/>
      <c r="AU135" s="323">
        <f>AS140+AS150+AS160+AS170+AS180</f>
        <v>28013.145762711865</v>
      </c>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c r="BP135" s="323"/>
      <c r="BQ135" s="323"/>
      <c r="BR135" s="323"/>
      <c r="BS135" s="323"/>
      <c r="BT135" s="323"/>
      <c r="BU135" s="323"/>
      <c r="BV135" s="323"/>
      <c r="BW135" s="323"/>
      <c r="BX135" s="323"/>
      <c r="BY135" s="323"/>
      <c r="BZ135" s="323"/>
      <c r="CA135" s="323"/>
      <c r="CB135" s="323"/>
      <c r="CC135" s="323"/>
      <c r="CD135" s="323"/>
      <c r="CE135" s="323"/>
      <c r="CF135" s="323"/>
      <c r="CG135" s="323"/>
      <c r="CH135" s="323"/>
      <c r="CI135" s="323"/>
      <c r="CJ135" s="323"/>
      <c r="CK135" s="323"/>
      <c r="CL135" s="323"/>
      <c r="CM135" s="323"/>
      <c r="CN135" s="323"/>
      <c r="CO135" s="323"/>
      <c r="CP135" s="428"/>
      <c r="CQ135" s="441"/>
      <c r="CR135" s="323"/>
      <c r="CS135" s="323"/>
      <c r="CT135" s="323"/>
      <c r="CU135" s="323"/>
      <c r="CV135" s="323"/>
      <c r="CW135" s="323"/>
      <c r="CX135" s="323"/>
      <c r="CY135" s="323"/>
      <c r="CZ135" s="323"/>
      <c r="EK135" s="1070"/>
      <c r="EL135" s="1070"/>
      <c r="EM135" s="1070"/>
      <c r="EN135" s="1070"/>
      <c r="EO135" s="1070"/>
      <c r="EP135" s="1070"/>
      <c r="EQ135" s="1070"/>
    </row>
    <row r="136" spans="2:222" ht="42.65" customHeight="1" thickBot="1" x14ac:dyDescent="0.5">
      <c r="B136" s="232"/>
      <c r="C136" s="233"/>
      <c r="D136" s="234"/>
      <c r="E136" s="234"/>
      <c r="F136" s="234"/>
      <c r="G136" s="234"/>
      <c r="H136" s="234"/>
      <c r="I136" s="234"/>
      <c r="J136" s="234"/>
      <c r="K136" s="234"/>
      <c r="L136" s="234"/>
      <c r="M136" s="234"/>
      <c r="N136" s="235"/>
      <c r="O136" s="235"/>
      <c r="P136" s="236"/>
      <c r="Q136" s="237"/>
      <c r="R136" s="187"/>
      <c r="S136" s="238"/>
      <c r="T136" s="175"/>
      <c r="V136" s="251"/>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c r="BP136" s="323"/>
      <c r="BQ136" s="323"/>
      <c r="BR136" s="323"/>
      <c r="BS136" s="323"/>
      <c r="BT136" s="323"/>
      <c r="BU136" s="323"/>
      <c r="BV136" s="323"/>
      <c r="BW136" s="323"/>
      <c r="BX136" s="323"/>
      <c r="BY136" s="323"/>
      <c r="BZ136" s="323"/>
      <c r="CA136" s="323"/>
      <c r="CB136" s="323"/>
      <c r="CC136" s="323"/>
      <c r="CD136" s="323"/>
      <c r="CE136" s="323"/>
      <c r="CF136" s="323"/>
      <c r="CG136" s="323"/>
      <c r="CH136" s="323"/>
      <c r="CI136" s="323"/>
      <c r="CJ136" s="323"/>
      <c r="CK136" s="323"/>
      <c r="CL136" s="323"/>
      <c r="CM136" s="323"/>
      <c r="CN136" s="323"/>
      <c r="CO136" s="323"/>
      <c r="CP136" s="428"/>
      <c r="CQ136" s="441"/>
      <c r="CR136" s="323"/>
      <c r="CS136" s="323"/>
      <c r="CT136" s="323"/>
      <c r="CU136" s="323"/>
      <c r="CV136" s="323"/>
      <c r="CW136" s="323"/>
      <c r="CX136" s="323"/>
      <c r="CY136" s="323"/>
      <c r="CZ136" s="323"/>
      <c r="EK136" s="1070"/>
      <c r="EL136" s="1070"/>
      <c r="EM136" s="1070"/>
      <c r="EN136" s="1070"/>
      <c r="EO136" s="1070"/>
      <c r="EP136" s="1070"/>
      <c r="EQ136" s="1070"/>
    </row>
    <row r="137" spans="2:222" ht="13.4" customHeight="1" thickBot="1" x14ac:dyDescent="0.5">
      <c r="E137" s="228"/>
      <c r="F137" s="228"/>
      <c r="G137" s="228"/>
      <c r="H137" s="228"/>
      <c r="J137" s="228"/>
      <c r="K137" s="228"/>
      <c r="L137" s="228"/>
      <c r="M137" s="228"/>
      <c r="N137" s="229"/>
      <c r="O137" s="229"/>
      <c r="P137" s="230"/>
      <c r="Q137" s="239"/>
      <c r="S137" s="240"/>
      <c r="T137" s="175"/>
      <c r="V137" s="251"/>
      <c r="W137" s="323"/>
      <c r="X137" s="323"/>
      <c r="Y137" s="323">
        <f>CQ144-X137</f>
        <v>0</v>
      </c>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c r="BP137" s="323"/>
      <c r="BQ137" s="323"/>
      <c r="BR137" s="323"/>
      <c r="BS137" s="323"/>
      <c r="BT137" s="323"/>
      <c r="BU137" s="323"/>
      <c r="BV137" s="323"/>
      <c r="BW137" s="323"/>
      <c r="BX137" s="323"/>
      <c r="BY137" s="323"/>
      <c r="BZ137" s="323"/>
      <c r="CA137" s="323"/>
      <c r="CB137" s="323"/>
      <c r="CC137" s="323"/>
      <c r="CD137" s="323"/>
      <c r="CE137" s="323"/>
      <c r="CF137" s="323"/>
      <c r="CG137" s="323"/>
      <c r="CH137" s="323"/>
      <c r="CI137" s="323"/>
      <c r="CJ137" s="323"/>
      <c r="CK137" s="323"/>
      <c r="CL137" s="323"/>
      <c r="CM137" s="323"/>
      <c r="CN137" s="323"/>
      <c r="CO137" s="323"/>
      <c r="CP137" s="428"/>
      <c r="CQ137" s="441"/>
      <c r="CR137" s="323"/>
      <c r="CS137" s="323"/>
      <c r="CT137" s="323"/>
      <c r="CU137" s="323"/>
      <c r="CV137" s="323"/>
      <c r="CW137" s="323"/>
      <c r="CX137" s="323"/>
      <c r="CY137" s="323"/>
      <c r="CZ137" s="323"/>
      <c r="EK137" s="1070"/>
      <c r="EL137" s="1070"/>
      <c r="EM137" s="1070"/>
      <c r="EN137" s="1070"/>
      <c r="EO137" s="1070"/>
      <c r="EP137" s="1070"/>
      <c r="EQ137" s="1070"/>
    </row>
    <row r="138" spans="2:222" ht="35.25" customHeight="1" x14ac:dyDescent="0.35">
      <c r="B138" s="493" t="s">
        <v>112</v>
      </c>
      <c r="C138" s="499"/>
      <c r="D138" s="499"/>
      <c r="E138" s="506" t="s">
        <v>114</v>
      </c>
      <c r="F138" s="499"/>
      <c r="G138" s="499"/>
      <c r="H138" s="499"/>
      <c r="I138" s="500" t="str">
        <f>"Tagkonstruktion"&amp;" "&amp;1</f>
        <v>Tagkonstruktion 1</v>
      </c>
      <c r="J138" s="499"/>
      <c r="K138" s="499"/>
      <c r="L138" s="499"/>
      <c r="M138" s="499"/>
      <c r="N138" s="499"/>
      <c r="O138" s="499"/>
      <c r="P138" s="499"/>
      <c r="Q138" s="501"/>
      <c r="R138" s="190"/>
      <c r="S138" s="191"/>
      <c r="V138" s="251"/>
      <c r="W138" s="323">
        <f>IF(E141=$C$72,1,0)</f>
        <v>0</v>
      </c>
      <c r="X138" s="323">
        <f>IF(J141=$C$72,1,0)</f>
        <v>0</v>
      </c>
      <c r="Y138" s="323"/>
      <c r="Z138" s="323"/>
      <c r="AA138" s="323"/>
      <c r="AB138" s="323"/>
      <c r="AC138" s="323"/>
      <c r="AD138" s="323"/>
      <c r="AE138" s="323"/>
      <c r="AF138" s="323"/>
      <c r="AG138" s="323"/>
      <c r="AH138" s="323"/>
      <c r="AI138" s="323"/>
      <c r="AJ138" s="323" t="s">
        <v>746</v>
      </c>
      <c r="AK138" s="323" t="s">
        <v>747</v>
      </c>
      <c r="AL138" s="323"/>
      <c r="AM138" s="323"/>
      <c r="AN138" s="323" t="s">
        <v>846</v>
      </c>
      <c r="AO138" s="323"/>
      <c r="AP138" s="323"/>
      <c r="AQ138" s="323"/>
      <c r="AR138" s="323" t="s">
        <v>851</v>
      </c>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c r="BP138" s="323"/>
      <c r="BQ138" s="323"/>
      <c r="BR138" s="323"/>
      <c r="BS138" s="323"/>
      <c r="BT138" s="323"/>
      <c r="BU138" s="323"/>
      <c r="BV138" s="323"/>
      <c r="BW138" s="323"/>
      <c r="BX138" s="323"/>
      <c r="BY138" s="323"/>
      <c r="BZ138" s="323"/>
      <c r="CA138" s="323"/>
      <c r="CB138" s="323"/>
      <c r="CC138" s="323"/>
      <c r="CD138" s="323"/>
      <c r="CE138" s="323"/>
      <c r="CF138" s="323"/>
      <c r="CG138" s="323"/>
      <c r="CH138" s="323"/>
      <c r="CI138" s="323"/>
      <c r="CJ138" s="323"/>
      <c r="CK138" s="323"/>
      <c r="CL138" s="323"/>
      <c r="CM138" s="323"/>
      <c r="CN138" s="323"/>
      <c r="CO138" s="323"/>
      <c r="CP138" s="428"/>
      <c r="CQ138" s="441"/>
      <c r="CR138" s="323"/>
      <c r="CS138" s="323"/>
      <c r="CT138" s="323"/>
      <c r="CU138" s="323"/>
      <c r="CV138" s="323"/>
      <c r="CW138" s="323"/>
      <c r="CX138" s="323"/>
      <c r="CY138" s="323"/>
      <c r="CZ138" s="323"/>
      <c r="EK138" s="1070"/>
      <c r="EL138" s="1070"/>
      <c r="EM138" s="1070"/>
      <c r="EN138" s="1070"/>
      <c r="EO138" s="1070"/>
      <c r="EP138" s="1070"/>
      <c r="EQ138" s="1070"/>
    </row>
    <row r="139" spans="2:222" ht="40.4" customHeight="1" x14ac:dyDescent="0.35">
      <c r="B139" s="359" t="s">
        <v>78</v>
      </c>
      <c r="C139" s="360"/>
      <c r="D139" s="910" t="str">
        <f>IF(E141="Vælg Selv","Scenarie 1: Din Opbygning","Scenarie 1: "&amp;X28)</f>
        <v>Scenarie 1: Tung Konventionel</v>
      </c>
      <c r="E139" s="911"/>
      <c r="F139" s="911"/>
      <c r="G139" s="911"/>
      <c r="H139" s="912"/>
      <c r="I139" s="885" t="str">
        <f>IF(J141="Vælg Selv","Scenarie 2: Din Opbygning","Scenarie 2: "&amp;Y28)</f>
        <v>Scenarie 2: Let Lav Emission</v>
      </c>
      <c r="J139" s="886"/>
      <c r="K139" s="886"/>
      <c r="L139" s="886"/>
      <c r="M139" s="887"/>
      <c r="N139" s="877" t="s">
        <v>79</v>
      </c>
      <c r="O139" s="877"/>
      <c r="P139" s="877"/>
      <c r="Q139" s="877"/>
      <c r="R139" s="192"/>
      <c r="S139" s="193"/>
      <c r="T139" s="175"/>
      <c r="V139" s="251"/>
      <c r="W139" s="323"/>
      <c r="X139" s="323"/>
      <c r="Y139" s="323"/>
      <c r="Z139" s="323"/>
      <c r="AA139" s="323"/>
      <c r="AB139" s="323"/>
      <c r="AC139" s="323"/>
      <c r="AD139" s="323"/>
      <c r="AE139" s="323"/>
      <c r="AF139" s="323"/>
      <c r="AG139" s="323"/>
      <c r="AH139" s="323"/>
      <c r="AI139" s="323" t="str">
        <f>'LCA data'!$B$77</f>
        <v>Tagbelægning</v>
      </c>
      <c r="AJ139" s="323">
        <f>VLOOKUP(E142,Pris.tag.beklædning[],2,0)*C142</f>
        <v>207490</v>
      </c>
      <c r="AK139" s="323">
        <f>VLOOKUP(J142,Pris.tag.beklædning[],2,0)*C142</f>
        <v>247200</v>
      </c>
      <c r="AL139" s="323"/>
      <c r="AM139" s="323"/>
      <c r="AN139" s="323" t="s">
        <v>4</v>
      </c>
      <c r="AO139" s="323" t="s">
        <v>5</v>
      </c>
      <c r="AP139" s="323"/>
      <c r="AQ139" s="323"/>
      <c r="AR139" s="323" t="s">
        <v>4</v>
      </c>
      <c r="AS139" s="323" t="s">
        <v>5</v>
      </c>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c r="BN139" s="323"/>
      <c r="BO139" s="323"/>
      <c r="BP139" s="323"/>
      <c r="BQ139" s="323"/>
      <c r="BR139" s="323"/>
      <c r="BS139" s="323"/>
      <c r="BT139" s="323"/>
      <c r="BU139" s="323"/>
      <c r="BV139" s="323"/>
      <c r="BW139" s="323"/>
      <c r="BX139" s="323"/>
      <c r="BY139" s="323"/>
      <c r="BZ139" s="323"/>
      <c r="CA139" s="323"/>
      <c r="CB139" s="323"/>
      <c r="CC139" s="323"/>
      <c r="CD139" s="323"/>
      <c r="CE139" s="323"/>
      <c r="CF139" s="323"/>
      <c r="CG139" s="323"/>
      <c r="CH139" s="323"/>
      <c r="CI139" s="323"/>
      <c r="CJ139" s="323"/>
      <c r="CK139" s="323"/>
      <c r="CL139" s="323"/>
      <c r="CM139" s="323"/>
      <c r="CN139" s="323"/>
      <c r="CO139" s="323"/>
      <c r="CP139" s="428"/>
      <c r="CQ139" s="441"/>
      <c r="CR139" s="323"/>
      <c r="CS139" s="323"/>
      <c r="CT139" s="323"/>
      <c r="CU139" s="323"/>
      <c r="CV139" s="323"/>
      <c r="CW139" s="323"/>
      <c r="CX139" s="323"/>
      <c r="CY139" s="323"/>
      <c r="CZ139" s="323"/>
      <c r="EK139" s="1070"/>
      <c r="EL139" s="1070"/>
      <c r="EM139" s="1070"/>
      <c r="EN139" s="1070"/>
      <c r="EO139" s="1070"/>
      <c r="EP139" s="1070"/>
      <c r="EQ139" s="1070"/>
    </row>
    <row r="140" spans="2:222" ht="44.9" customHeight="1" x14ac:dyDescent="0.35">
      <c r="B140" s="194"/>
      <c r="C140" s="195" t="s">
        <v>80</v>
      </c>
      <c r="D140" s="920" t="s">
        <v>81</v>
      </c>
      <c r="E140" s="921"/>
      <c r="F140" s="338" t="s">
        <v>82</v>
      </c>
      <c r="G140" s="338" t="s">
        <v>83</v>
      </c>
      <c r="H140" s="346" t="s">
        <v>84</v>
      </c>
      <c r="I140" s="891" t="s">
        <v>81</v>
      </c>
      <c r="J140" s="892"/>
      <c r="K140" s="479" t="s">
        <v>82</v>
      </c>
      <c r="L140" s="479" t="s">
        <v>83</v>
      </c>
      <c r="M140" s="508" t="s">
        <v>84</v>
      </c>
      <c r="N140" s="195" t="s">
        <v>4</v>
      </c>
      <c r="O140" s="195" t="s">
        <v>85</v>
      </c>
      <c r="P140" s="195" t="s">
        <v>5</v>
      </c>
      <c r="Q140" s="195" t="s">
        <v>86</v>
      </c>
      <c r="R140" s="192"/>
      <c r="S140" s="196"/>
      <c r="V140" s="251"/>
      <c r="W140" s="323" t="s">
        <v>87</v>
      </c>
      <c r="X140" s="323" t="s">
        <v>88</v>
      </c>
      <c r="Y140" s="323" t="s">
        <v>89</v>
      </c>
      <c r="Z140" s="323" t="s">
        <v>90</v>
      </c>
      <c r="AA140" s="323" t="s">
        <v>91</v>
      </c>
      <c r="AB140" s="323"/>
      <c r="AC140" s="323"/>
      <c r="AD140" s="323"/>
      <c r="AE140" s="323" t="s">
        <v>92</v>
      </c>
      <c r="AF140" s="323"/>
      <c r="AG140" s="323"/>
      <c r="AH140" s="323"/>
      <c r="AI140" s="323" t="s">
        <v>209</v>
      </c>
      <c r="AJ140" s="323">
        <f>VLOOKUP(E143,Pris.isolering.tag[],2,0)*F143*C143</f>
        <v>80100.000000000015</v>
      </c>
      <c r="AK140" s="323">
        <f>VLOOKUP(J143,Pris.isolering.tag[],2,0)*K143*C143</f>
        <v>62829.714285714297</v>
      </c>
      <c r="AL140" s="323"/>
      <c r="AM140" s="323"/>
      <c r="AN140" s="323">
        <f>SUM(AN142:AN146)</f>
        <v>-1411.8296599999999</v>
      </c>
      <c r="AO140" s="323">
        <f>SUM(AO142:AO146)</f>
        <v>-7374.3384160451988</v>
      </c>
      <c r="AP140" s="323"/>
      <c r="AQ140" s="323"/>
      <c r="AR140" s="323">
        <f>SUM(AR142:AR145)</f>
        <v>879.83375999999998</v>
      </c>
      <c r="AS140" s="323">
        <f>SUM(AS142:AS145)</f>
        <v>28013.145762711865</v>
      </c>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c r="BN140" s="323"/>
      <c r="BO140" s="323"/>
      <c r="BP140" s="323"/>
      <c r="BQ140" s="323"/>
      <c r="BR140" s="323"/>
      <c r="BS140" s="323"/>
      <c r="BT140" s="323"/>
      <c r="BU140" s="323"/>
      <c r="BV140" s="323"/>
      <c r="BW140" s="323"/>
      <c r="BX140" s="323"/>
      <c r="BY140" s="323"/>
      <c r="BZ140" s="323"/>
      <c r="CA140" s="323"/>
      <c r="CB140" s="323"/>
      <c r="CC140" s="323"/>
      <c r="CD140" s="323"/>
      <c r="CE140" s="323"/>
      <c r="CF140" s="323"/>
      <c r="CG140" s="323"/>
      <c r="CH140" s="323"/>
      <c r="CI140" s="323"/>
      <c r="CJ140" s="323"/>
      <c r="CK140" s="323"/>
      <c r="CL140" s="323"/>
      <c r="CM140" s="323"/>
      <c r="CN140" s="323"/>
      <c r="CO140" s="323"/>
      <c r="CP140" s="439"/>
      <c r="CQ140" s="440"/>
      <c r="CR140" s="323"/>
      <c r="CS140" s="323"/>
      <c r="CT140" s="323"/>
      <c r="CU140" s="323"/>
      <c r="CV140" s="323"/>
      <c r="CW140" s="323"/>
      <c r="CX140" s="323"/>
      <c r="CY140" s="323"/>
      <c r="CZ140" s="323"/>
      <c r="EK140" s="1070"/>
      <c r="EL140" s="1070"/>
      <c r="EM140" s="1070"/>
      <c r="EN140" s="1070"/>
      <c r="EO140" s="1070"/>
      <c r="EP140" s="1070"/>
      <c r="EQ140" s="1070"/>
    </row>
    <row r="141" spans="2:222" s="198" customFormat="1" ht="26" customHeight="1" x14ac:dyDescent="0.35">
      <c r="B141" s="199"/>
      <c r="C141" s="200" t="s">
        <v>93</v>
      </c>
      <c r="D141" s="361" t="s">
        <v>828</v>
      </c>
      <c r="E141" s="362" t="str">
        <f>$C$29</f>
        <v>Benyt Standard</v>
      </c>
      <c r="F141" s="347" t="s">
        <v>94</v>
      </c>
      <c r="G141" s="348" t="s">
        <v>95</v>
      </c>
      <c r="H141" s="349" t="s">
        <v>96</v>
      </c>
      <c r="I141" s="480" t="s">
        <v>828</v>
      </c>
      <c r="J141" s="362" t="str">
        <f>$E$29</f>
        <v>Benyt Standard</v>
      </c>
      <c r="K141" s="510" t="s">
        <v>94</v>
      </c>
      <c r="L141" s="511" t="s">
        <v>95</v>
      </c>
      <c r="M141" s="512" t="s">
        <v>96</v>
      </c>
      <c r="N141" s="201" t="s">
        <v>97</v>
      </c>
      <c r="O141" s="201" t="s">
        <v>97</v>
      </c>
      <c r="P141" s="201" t="s">
        <v>97</v>
      </c>
      <c r="Q141" s="201" t="s">
        <v>97</v>
      </c>
      <c r="R141" s="202"/>
      <c r="S141" s="203"/>
      <c r="T141" s="204"/>
      <c r="U141" s="204"/>
      <c r="V141" s="325"/>
      <c r="W141" s="323">
        <f>SUM(W142:W145)</f>
        <v>20645.075091569233</v>
      </c>
      <c r="X141" s="323">
        <f>SUM(X142:X145)</f>
        <v>5727.9315275932231</v>
      </c>
      <c r="Y141" s="323"/>
      <c r="Z141" s="323"/>
      <c r="AA141" s="323"/>
      <c r="AB141" s="323" t="s">
        <v>111</v>
      </c>
      <c r="AC141" s="323" t="s">
        <v>98</v>
      </c>
      <c r="AD141" s="323" t="s">
        <v>99</v>
      </c>
      <c r="AE141" s="323" t="s">
        <v>100</v>
      </c>
      <c r="AF141" s="323"/>
      <c r="AG141" s="323"/>
      <c r="AH141" s="323"/>
      <c r="AI141" s="323" t="str">
        <f>'LCA data'!$B$93</f>
        <v>Tagkonstruktion</v>
      </c>
      <c r="AJ141" s="323">
        <f>VLOOKUP(E144,Pris.tag.konstruktion[],2,0)*C144</f>
        <v>204904</v>
      </c>
      <c r="AK141" s="323">
        <f>VLOOKUP(J144,Pris.tag.konstruktion[],2,0)*C144</f>
        <v>51398</v>
      </c>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c r="BM141" s="323"/>
      <c r="BN141" s="323"/>
      <c r="BO141" s="323"/>
      <c r="BP141" s="323"/>
      <c r="BQ141" s="323"/>
      <c r="BR141" s="323"/>
      <c r="BS141" s="323"/>
      <c r="BT141" s="323"/>
      <c r="BU141" s="323"/>
      <c r="BV141" s="323"/>
      <c r="BW141" s="323"/>
      <c r="BX141" s="323"/>
      <c r="BY141" s="323"/>
      <c r="BZ141" s="323"/>
      <c r="CA141" s="323"/>
      <c r="CB141" s="323"/>
      <c r="CC141" s="323"/>
      <c r="CD141" s="323"/>
      <c r="CE141" s="323"/>
      <c r="CF141" s="323"/>
      <c r="CG141" s="323"/>
      <c r="CH141" s="323"/>
      <c r="CI141" s="323"/>
      <c r="CJ141" s="323"/>
      <c r="CK141" s="323"/>
      <c r="CL141" s="323"/>
      <c r="CM141" s="323"/>
      <c r="CN141" s="323"/>
      <c r="CO141" s="323"/>
      <c r="CP141" s="439"/>
      <c r="CQ141" s="440"/>
      <c r="CR141" s="323"/>
      <c r="CS141" s="323"/>
      <c r="CT141" s="323"/>
      <c r="CU141" s="323"/>
      <c r="CV141" s="323"/>
      <c r="CW141" s="323"/>
      <c r="CX141" s="323"/>
      <c r="CY141" s="323"/>
      <c r="CZ141" s="323"/>
      <c r="DA141" s="325"/>
      <c r="DB141" s="325"/>
      <c r="DC141" s="325"/>
      <c r="DD141" s="325"/>
      <c r="DE141" s="325"/>
      <c r="DF141" s="325"/>
      <c r="DG141" s="325"/>
      <c r="DH141" s="325"/>
      <c r="DI141" s="325"/>
      <c r="DJ141" s="325"/>
      <c r="DK141" s="325"/>
      <c r="DL141" s="325"/>
      <c r="DM141" s="325"/>
      <c r="DN141" s="325"/>
      <c r="DO141" s="325"/>
      <c r="DP141" s="325"/>
      <c r="DQ141" s="325"/>
      <c r="DR141" s="325"/>
      <c r="DS141" s="325"/>
      <c r="DT141" s="325"/>
      <c r="DU141" s="325"/>
      <c r="DV141" s="325"/>
      <c r="DW141" s="325"/>
      <c r="DX141" s="325"/>
      <c r="DY141" s="325"/>
      <c r="DZ141" s="325"/>
      <c r="EA141" s="325"/>
      <c r="EB141" s="325"/>
      <c r="EC141" s="325"/>
      <c r="ED141" s="325"/>
      <c r="EE141" s="325"/>
      <c r="EF141" s="325"/>
      <c r="EG141" s="325"/>
      <c r="EH141" s="325"/>
      <c r="EI141" s="325"/>
      <c r="EJ141" s="325"/>
      <c r="EK141" s="1072"/>
      <c r="EL141" s="1072"/>
      <c r="EM141" s="1072"/>
      <c r="EN141" s="1072"/>
      <c r="EO141" s="1072"/>
      <c r="EP141" s="1072"/>
      <c r="EQ141" s="1072"/>
      <c r="ER141" s="325"/>
      <c r="ES141" s="325"/>
      <c r="ET141" s="325"/>
      <c r="EU141" s="325"/>
      <c r="EV141" s="325"/>
      <c r="EW141" s="325"/>
      <c r="EX141" s="325"/>
      <c r="EY141" s="325"/>
      <c r="EZ141" s="325"/>
      <c r="FA141" s="325"/>
      <c r="FB141" s="325"/>
      <c r="FC141" s="325"/>
      <c r="FD141" s="325"/>
      <c r="FE141" s="325"/>
      <c r="FF141" s="325"/>
      <c r="FG141" s="325"/>
      <c r="FH141" s="325"/>
      <c r="FI141" s="325"/>
      <c r="FJ141" s="325"/>
      <c r="FK141" s="325"/>
      <c r="FL141" s="325"/>
      <c r="FM141" s="325"/>
      <c r="FN141" s="325"/>
      <c r="FO141" s="325"/>
      <c r="FP141" s="325"/>
      <c r="FQ141" s="325"/>
      <c r="FR141" s="325"/>
      <c r="FS141" s="325"/>
      <c r="FT141" s="325"/>
      <c r="FU141" s="325"/>
      <c r="FV141" s="325"/>
      <c r="FW141" s="325"/>
      <c r="FX141" s="325"/>
      <c r="FY141" s="325"/>
      <c r="FZ141" s="325"/>
      <c r="GA141" s="325"/>
      <c r="GB141" s="325"/>
      <c r="GC141" s="325"/>
      <c r="GD141" s="325"/>
      <c r="GE141" s="325"/>
      <c r="GF141" s="325"/>
      <c r="GG141" s="325"/>
      <c r="GH141" s="325"/>
      <c r="GI141" s="325"/>
      <c r="GJ141" s="325"/>
      <c r="GK141" s="325"/>
      <c r="GL141" s="325"/>
      <c r="GM141" s="325"/>
      <c r="GN141" s="325"/>
      <c r="GO141" s="325"/>
      <c r="GP141" s="325"/>
      <c r="GQ141" s="325"/>
      <c r="GR141" s="325"/>
      <c r="GS141" s="325"/>
      <c r="GT141" s="325"/>
      <c r="GU141" s="325"/>
      <c r="GV141" s="325"/>
      <c r="GW141" s="325"/>
      <c r="GX141" s="325"/>
      <c r="GY141" s="325"/>
      <c r="GZ141" s="325"/>
      <c r="HA141" s="325"/>
      <c r="HB141" s="325"/>
      <c r="HC141" s="325"/>
      <c r="HD141" s="325"/>
      <c r="HE141" s="325"/>
      <c r="HF141" s="325"/>
      <c r="HG141" s="325"/>
      <c r="HH141" s="325"/>
      <c r="HI141" s="325"/>
      <c r="HJ141" s="325"/>
      <c r="HK141" s="325"/>
      <c r="HL141" s="325"/>
      <c r="HM141" s="325"/>
      <c r="HN141" s="325"/>
    </row>
    <row r="142" spans="2:222" ht="40.4" customHeight="1" x14ac:dyDescent="0.35">
      <c r="B142" s="363" t="str">
        <f>'LCA data'!$B$77</f>
        <v>Tagbelægning</v>
      </c>
      <c r="C142" s="465">
        <f>IF($C$44-C152-C162-C172-C182&lt;0,0,$C$44-C152-C162-C172-C182)</f>
        <v>200</v>
      </c>
      <c r="D142" s="15" t="s">
        <v>103</v>
      </c>
      <c r="E142" s="342" t="str">
        <f>IF($E$141=$C$72,D142,VLOOKUP(B142,Auto_Tag[],VLOOKUP($X$28,Type_Tung_Middel_Let[],2,0),0))</f>
        <v>Teglsten</v>
      </c>
      <c r="F142" s="356">
        <f>(VLOOKUP(E142,Pris.tag.beklædning[],4,0))/1000</f>
        <v>0.03</v>
      </c>
      <c r="G142" s="350"/>
      <c r="H142" s="351">
        <f>IFERROR(IF(VLOOKUP(B142&amp;"_"&amp;E142,'LCA data'!$B$7:$X$200,2,FALSE)&lt;$Y$24,1,0)+IF(VLOOKUP(B142&amp;"_"&amp;E142,'LCA data'!$B$7:$X$200,2,FALSE)*2&lt;$Y$24,1,0),"")</f>
        <v>0</v>
      </c>
      <c r="I142" s="15" t="s">
        <v>103</v>
      </c>
      <c r="J142" s="342" t="str">
        <f>IF($J$141=$C$72,I142,VLOOKUP(B142,Auto_Tag[],VLOOKUP($Y$28,Type_Tung_Middel_Let[],2,0),0))</f>
        <v>Stråtag</v>
      </c>
      <c r="K142" s="513">
        <f>(VLOOKUP(J142,Pris.tag.beklædning[],4,0))/1000</f>
        <v>0.37</v>
      </c>
      <c r="L142" s="514"/>
      <c r="M142" s="515">
        <f>IFERROR(IF(VLOOKUP(B142&amp;"_"&amp;J142,'LCA data'!$B$7:$X$200,2,FALSE)&lt;$Y$24,1,0)+IF(VLOOKUP(B142&amp;"_"&amp;J142,'LCA data'!$B$7:$X$200,2,FALSE)*2&lt;$Y$24,1,0),"")</f>
        <v>1</v>
      </c>
      <c r="N142" s="364">
        <f>W142/1000</f>
        <v>3.3193129107692307</v>
      </c>
      <c r="O142" s="880">
        <f>SUM(N142:N145)</f>
        <v>20.645075091569229</v>
      </c>
      <c r="P142" s="365">
        <f>X142/1000</f>
        <v>2.6498993920000009</v>
      </c>
      <c r="Q142" s="880">
        <f>SUM(P142:P145)</f>
        <v>5.7279315275932232</v>
      </c>
      <c r="R142" s="192"/>
      <c r="S142" s="196"/>
      <c r="V142" s="251"/>
      <c r="W142" s="323">
        <f>IF(E142="Angiv ikke",0,((1+H142)*VLOOKUP(B142&amp;"_"&amp;E142,'LCA data'!$B$7:$X$360,19,FALSE)*(F142*10^3)*C142))</f>
        <v>3319.3129107692307</v>
      </c>
      <c r="X142" s="323">
        <f>IF(J142="Angiv ikke",0,((1+M142)*VLOOKUP(B142&amp;"_"&amp;J142,'LCA data'!$B$7:$X$360,19,FALSE)*(K142*10^3)*C142))</f>
        <v>2649.8993920000007</v>
      </c>
      <c r="Y142" s="323"/>
      <c r="Z142" s="323"/>
      <c r="AA142" s="323" t="s">
        <v>4</v>
      </c>
      <c r="AB142" s="323">
        <f>AF142/$J$21/$Y$24*1000</f>
        <v>1.0322537545784616</v>
      </c>
      <c r="AC142" s="323">
        <f>Varmetab!H72</f>
        <v>0.27569548844421471</v>
      </c>
      <c r="AD142" s="323">
        <f>AB142+AC142</f>
        <v>1.3079492430226762</v>
      </c>
      <c r="AE142" s="323" t="s">
        <v>4</v>
      </c>
      <c r="AF142" s="323">
        <f>W141/1000</f>
        <v>20.645075091569232</v>
      </c>
      <c r="AG142" s="323"/>
      <c r="AH142" s="323"/>
      <c r="AI142" s="323" t="str">
        <f>'LCA data'!$B$105</f>
        <v>Loftsbeklædning</v>
      </c>
      <c r="AJ142" s="323">
        <f>VLOOKUP(E145,Pris.loft.beklædning[],2,0)*C145</f>
        <v>18988</v>
      </c>
      <c r="AK142" s="323">
        <f>VLOOKUP(J145,Pris.loft.beklædning[],2,0)*C145</f>
        <v>109033.99999999999</v>
      </c>
      <c r="AL142" s="323"/>
      <c r="AM142" s="323"/>
      <c r="AN142" s="323">
        <f>IF(E142="Angiv ikke",0,((1+H142)*VLOOKUP(B142&amp;"_"&amp;E142,'LCA data'!$B$7:$X$360,20,FALSE)*(F142*10^3)*C142))</f>
        <v>-715.82965999999999</v>
      </c>
      <c r="AO142" s="323">
        <f>IF(J142="Angiv ikke",0,((1+M142)*VLOOKUP(B142&amp;"_"&amp;J142,'LCA data'!$B$7:$X$360,20,FALSE)*(K142*10^3)*C142))</f>
        <v>-1431.65932</v>
      </c>
      <c r="AP142" s="323"/>
      <c r="AQ142" s="323"/>
      <c r="AR142" s="323">
        <f>IF(E142="Angiv ikke",0,((1+H142)*VLOOKUP(B142&amp;"_"&amp;E142,'LCA data'!$B$7:$AA$360,26,FALSE)*(F142*10^3)*C142))</f>
        <v>879.83375999999998</v>
      </c>
      <c r="AS142" s="323">
        <f>IF(J142="Angiv ikke",0,((1+M142)*VLOOKUP(B142&amp;"_"&amp;J142,'LCA data'!$B$7:$AA$360,26,FALSE)*(K142*10^3)*C142))</f>
        <v>19190.400000000001</v>
      </c>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323"/>
      <c r="BQ142" s="323"/>
      <c r="BR142" s="323"/>
      <c r="BS142" s="323"/>
      <c r="BT142" s="323"/>
      <c r="BU142" s="323"/>
      <c r="BV142" s="323"/>
      <c r="BW142" s="323"/>
      <c r="BX142" s="323"/>
      <c r="BY142" s="323"/>
      <c r="BZ142" s="323"/>
      <c r="CA142" s="323"/>
      <c r="CB142" s="323"/>
      <c r="CC142" s="323"/>
      <c r="CD142" s="323"/>
      <c r="CE142" s="323"/>
      <c r="CF142" s="323"/>
      <c r="CG142" s="323"/>
      <c r="CH142" s="323"/>
      <c r="CI142" s="323"/>
      <c r="CJ142" s="323"/>
      <c r="CK142" s="323"/>
      <c r="CL142" s="323"/>
      <c r="CM142" s="323"/>
      <c r="CN142" s="323"/>
      <c r="CO142" s="323"/>
      <c r="CP142" s="439"/>
      <c r="CQ142" s="440"/>
      <c r="CR142" s="323"/>
      <c r="CS142" s="323"/>
      <c r="CT142" s="323"/>
      <c r="CU142" s="323"/>
      <c r="CV142" s="323"/>
      <c r="CW142" s="323"/>
      <c r="CX142" s="323"/>
      <c r="CY142" s="323"/>
      <c r="CZ142" s="323"/>
      <c r="EK142" s="1070"/>
      <c r="EL142" s="1070"/>
      <c r="EM142" s="1070"/>
      <c r="EN142" s="1070"/>
      <c r="EO142" s="1070"/>
      <c r="EP142" s="1070"/>
      <c r="EQ142" s="1070"/>
    </row>
    <row r="143" spans="2:222" ht="40.4" customHeight="1" x14ac:dyDescent="0.35">
      <c r="B143" s="208" t="str">
        <f>'LCA data'!B$32</f>
        <v>Isolering</v>
      </c>
      <c r="C143" s="465">
        <f>IF($C$44-C153-C163-C173-C183&lt;0,0,$C$44-C153-C163-C173-C183)</f>
        <v>200</v>
      </c>
      <c r="D143" s="168" t="s">
        <v>103</v>
      </c>
      <c r="E143" s="342" t="str">
        <f>IF($E$141=$C$72,D143,VLOOKUP(B143,Auto_Tag[],VLOOKUP($X$28,Type_Tung_Middel_Let[],2,0),0))</f>
        <v>Mineraluld</v>
      </c>
      <c r="F143" s="11">
        <v>0.4</v>
      </c>
      <c r="G143" s="475">
        <f>VLOOKUP(E143,Isoleringsmateriale[],2,0)</f>
        <v>3.6999999999999998E-2</v>
      </c>
      <c r="H143" s="351">
        <f>IFERROR(IF(VLOOKUP(B143&amp;"_"&amp;E143,'LCA data'!$B$7:$X$200,2,FALSE)&lt;$Y$24,1,0)+IF(VLOOKUP(B143&amp;"_"&amp;E143,'LCA data'!$B$7:$X$200,2,FALSE)*2&lt;$Y$24,1,0),"")</f>
        <v>0</v>
      </c>
      <c r="I143" s="168" t="s">
        <v>103</v>
      </c>
      <c r="J143" s="342" t="str">
        <f>IF($J$141=$C$72,I143,VLOOKUP(B143,Auto_Tag[],VLOOKUP($Y$28,Type_Tung_Middel_Let[],2,0),0))</f>
        <v>Papiruld</v>
      </c>
      <c r="K143" s="11">
        <v>0.4</v>
      </c>
      <c r="L143" s="521">
        <f>VLOOKUP(J143,Isoleringsmateriale[],2,0)</f>
        <v>0.04</v>
      </c>
      <c r="M143" s="515">
        <f>IFERROR(IF(VLOOKUP(B143&amp;"_"&amp;J143,'LCA data'!$B$7:$X$200,2,FALSE)&lt;$Y$24,1,0)+IF(VLOOKUP(B143&amp;"_"&amp;J143,'LCA data'!$B$7:$X$200,2,FALSE)*2&lt;$Y$24,1,0),"")</f>
        <v>0</v>
      </c>
      <c r="N143" s="206">
        <f>W143/1000</f>
        <v>3.3136800000000002</v>
      </c>
      <c r="O143" s="878"/>
      <c r="P143" s="207">
        <f>X143/1000</f>
        <v>2.0567440000000006</v>
      </c>
      <c r="Q143" s="878"/>
      <c r="R143" s="192"/>
      <c r="S143" s="196"/>
      <c r="V143" s="251"/>
      <c r="W143" s="323">
        <f>IF(E143="Angiv ikke",0,((1+H143)*VLOOKUP(B143&amp;"_"&amp;E143,'LCA data'!$B$7:$X$360,19,FALSE)*(F143*10^3)*C143))</f>
        <v>3313.6800000000003</v>
      </c>
      <c r="X143" s="323">
        <f>IF(J143="Angiv ikke",0,((1+M143)*VLOOKUP(B143&amp;"_"&amp;J143,'LCA data'!$B$7:$X$360,19,FALSE)*(K143*10^3)*C143))</f>
        <v>2056.7440000000006</v>
      </c>
      <c r="Y143" s="323">
        <f>IF(G143="_",0,Varmetab!H72*$J$21*$Y$24)</f>
        <v>5513.9097688842949</v>
      </c>
      <c r="Z143" s="323">
        <f>IF(L143="_",0,Varmetab!I72*$J$21*$Y$24)</f>
        <v>5953.5103244837746</v>
      </c>
      <c r="AA143" s="323" t="s">
        <v>5</v>
      </c>
      <c r="AB143" s="323">
        <f>AG143/$J$21/$Y$24*1000</f>
        <v>0.28639657637966121</v>
      </c>
      <c r="AC143" s="323">
        <f>Varmetab!I72</f>
        <v>0.29767551622418875</v>
      </c>
      <c r="AD143" s="323">
        <f>AB143+AC143</f>
        <v>0.58407209260384996</v>
      </c>
      <c r="AE143" s="323" t="s">
        <v>5</v>
      </c>
      <c r="AF143" s="323"/>
      <c r="AG143" s="323">
        <f>X141/1000</f>
        <v>5.7279315275932232</v>
      </c>
      <c r="AH143" s="323"/>
      <c r="AI143" s="323" t="s">
        <v>743</v>
      </c>
      <c r="AJ143" s="323">
        <f>SUM(AJ139:AJ142)</f>
        <v>511482</v>
      </c>
      <c r="AK143" s="323">
        <f>SUM(AK139:AK142)</f>
        <v>470461.71428571432</v>
      </c>
      <c r="AL143" s="323"/>
      <c r="AM143" s="323"/>
      <c r="AN143" s="323">
        <f>IF(E143="Angiv ikke",0,((1+H143)*VLOOKUP(B143&amp;"_"&amp;E143,'LCA data'!$B$7:$X$360,20,FALSE)*(F143*10^3)*C143))</f>
        <v>0</v>
      </c>
      <c r="AO143" s="323">
        <f>IF(J143="Angiv ikke",0,((1+M143)*VLOOKUP(B143&amp;"_"&amp;J143,'LCA data'!$B$7:$X$360,20,FALSE)*(K143*10^3)*C143))</f>
        <v>-2440.5333333333333</v>
      </c>
      <c r="AP143" s="323"/>
      <c r="AQ143" s="323"/>
      <c r="AR143" s="323">
        <f>IF(E143="Angiv ikke",0,((1+H143)*VLOOKUP(B143&amp;"_"&amp;E143,'LCA data'!$B$7:$AA$360,26,FALSE)*(F143*10^3)*C143))</f>
        <v>0</v>
      </c>
      <c r="AS143" s="323">
        <f>IF(J143="Angiv ikke",0,((1+M143)*VLOOKUP(B143&amp;"_"&amp;J143,'LCA data'!$B$7:$AA$360,26,FALSE)*(K143*10^3)*C143))</f>
        <v>3600</v>
      </c>
      <c r="AT143" s="323"/>
      <c r="AU143" s="323"/>
      <c r="AV143" s="323"/>
      <c r="AW143" s="323"/>
      <c r="AX143" s="323"/>
      <c r="AY143" s="323"/>
      <c r="AZ143" s="323"/>
      <c r="BA143" s="323"/>
      <c r="BB143" s="323"/>
      <c r="BC143" s="323"/>
      <c r="BD143" s="323"/>
      <c r="BE143" s="323"/>
      <c r="BF143" s="323"/>
      <c r="BG143" s="323"/>
      <c r="BH143" s="323"/>
      <c r="BI143" s="323"/>
      <c r="BJ143" s="323"/>
      <c r="BK143" s="323"/>
      <c r="BL143" s="323"/>
      <c r="BM143" s="323"/>
      <c r="BN143" s="323"/>
      <c r="BO143" s="323"/>
      <c r="BP143" s="323"/>
      <c r="BQ143" s="323"/>
      <c r="BR143" s="323"/>
      <c r="BS143" s="323"/>
      <c r="BT143" s="323"/>
      <c r="BU143" s="323"/>
      <c r="BV143" s="323"/>
      <c r="BW143" s="323"/>
      <c r="BX143" s="323"/>
      <c r="BY143" s="323"/>
      <c r="BZ143" s="323"/>
      <c r="CA143" s="323"/>
      <c r="CB143" s="323"/>
      <c r="CC143" s="323"/>
      <c r="CD143" s="323"/>
      <c r="CE143" s="323"/>
      <c r="CF143" s="323"/>
      <c r="CG143" s="323"/>
      <c r="CH143" s="323"/>
      <c r="CI143" s="323"/>
      <c r="CJ143" s="323"/>
      <c r="CK143" s="323"/>
      <c r="CL143" s="323"/>
      <c r="CM143" s="323"/>
      <c r="CN143" s="323"/>
      <c r="CO143" s="323"/>
      <c r="CP143" s="439"/>
      <c r="CQ143" s="440"/>
      <c r="CR143" s="323"/>
      <c r="CS143" s="323"/>
      <c r="CT143" s="323"/>
      <c r="CU143" s="323"/>
      <c r="CV143" s="323"/>
      <c r="CW143" s="323"/>
      <c r="CX143" s="323"/>
      <c r="CY143" s="323"/>
      <c r="CZ143" s="323"/>
      <c r="EK143" s="1070"/>
      <c r="EL143" s="1070"/>
      <c r="EM143" s="1070"/>
      <c r="EN143" s="1070"/>
      <c r="EO143" s="1070"/>
      <c r="EP143" s="1070"/>
      <c r="EQ143" s="1070"/>
    </row>
    <row r="144" spans="2:222" ht="40.4" customHeight="1" thickBot="1" x14ac:dyDescent="0.4">
      <c r="B144" s="205" t="str">
        <f>'LCA data'!$B$93</f>
        <v>Tagkonstruktion</v>
      </c>
      <c r="C144" s="465">
        <f>IF($C$44-C154-C164-C174-C184&lt;0,0,$C$44-C154-C164-C174-C184)</f>
        <v>200</v>
      </c>
      <c r="D144" s="169" t="s">
        <v>103</v>
      </c>
      <c r="E144" s="342" t="str">
        <f>IF($E$141=$C$72,D144,VLOOKUP(B144,Auto_Tag[],VLOOKUP($X$28,Type_Tung_Middel_Let[],2,0),0))</f>
        <v>Betonhuldæk</v>
      </c>
      <c r="F144" s="350">
        <f>IF(E144="Betonhuldæk",(VLOOKUP(E144,Pris.tag.konstruktion[],4,0)/1000),F143)</f>
        <v>0.18</v>
      </c>
      <c r="G144" s="350"/>
      <c r="H144" s="351">
        <f>IFERROR(IF(VLOOKUP(B144&amp;"_"&amp;E144,'LCA data'!$B$7:$X$200,2,FALSE)&lt;$Y$24,1,0)+IF(VLOOKUP(B144&amp;"_"&amp;E144,'LCA data'!$B$7:$X$200,2,FALSE)*2&lt;$Y$24,1,0),"")</f>
        <v>0</v>
      </c>
      <c r="I144" s="169" t="s">
        <v>103</v>
      </c>
      <c r="J144" s="342" t="str">
        <f>IF($J$141=$C$72,I144,VLOOKUP(B144,Auto_Tag[],VLOOKUP($Y$28,Type_Tung_Middel_Let[],2,0),0))</f>
        <v>Bjælkespær</v>
      </c>
      <c r="K144" s="514">
        <f>IF(OR(J144="Betonhuldæk",J144="CLT"),(VLOOKUP(J144,Pris.tag.konstruktion[],4,0)/1000),K143)</f>
        <v>0.4</v>
      </c>
      <c r="L144" s="514"/>
      <c r="M144" s="515">
        <f>IFERROR(IF(VLOOKUP(B144&amp;"_"&amp;J144,'LCA data'!$B$7:$X$200,2,FALSE)&lt;$Y$24,1,0)+IF(VLOOKUP(B144&amp;"_"&amp;J144,'LCA data'!$B$7:$X$200,2,FALSE)*2&lt;$Y$24,1,0),"")</f>
        <v>0</v>
      </c>
      <c r="N144" s="206">
        <f>W144/1000</f>
        <v>12.8520821808</v>
      </c>
      <c r="O144" s="878"/>
      <c r="P144" s="207">
        <f>X144/1000</f>
        <v>0.31728813559322083</v>
      </c>
      <c r="Q144" s="878"/>
      <c r="R144" s="192"/>
      <c r="S144" s="196"/>
      <c r="V144" s="251"/>
      <c r="W144" s="323">
        <f>IF(E144="Angiv ikke",0,((1+H144)*VLOOKUP(B144&amp;"_"&amp;E144,'LCA data'!$B$7:$X$360,19,FALSE)*(F144*10^3)*C144))</f>
        <v>12852.0821808</v>
      </c>
      <c r="X144" s="323">
        <f>IF(J144="Angiv ikke",0,((1+M144)*VLOOKUP(B144&amp;"_"&amp;J144,'LCA data'!$B$7:$X$360,19,FALSE)*(K144*10^3)*C144))</f>
        <v>317.28813559322083</v>
      </c>
      <c r="Y144" s="323"/>
      <c r="Z144" s="323"/>
      <c r="AA144" s="323"/>
      <c r="AB144" s="323"/>
      <c r="AC144" s="323"/>
      <c r="AD144" s="323"/>
      <c r="AE144" s="323"/>
      <c r="AF144" s="323"/>
      <c r="AG144" s="323"/>
      <c r="AH144" s="323"/>
      <c r="AI144" s="323"/>
      <c r="AJ144" s="323"/>
      <c r="AK144" s="323"/>
      <c r="AL144" s="323"/>
      <c r="AM144" s="323"/>
      <c r="AN144" s="323">
        <f>IF(E144="Angiv ikke",0,((1+H144)*VLOOKUP(B144&amp;"_"&amp;E144,'LCA data'!$B$7:$X$360,20,FALSE)*(F144*10^3)*C144))</f>
        <v>-691.99999999999989</v>
      </c>
      <c r="AO144" s="323">
        <f>IF(J144="Angiv ikke",0,((1+M144)*VLOOKUP(B144&amp;"_"&amp;J144,'LCA data'!$B$7:$X$360,20,FALSE)*(K144*10^3)*C144))</f>
        <v>-2444.7457627118647</v>
      </c>
      <c r="AP144" s="323"/>
      <c r="AQ144" s="323"/>
      <c r="AR144" s="323">
        <f>IF(E144="Angiv ikke",0,((1+H144)*VLOOKUP(B144&amp;"_"&amp;E144,'LCA data'!$B$7:$AA$360,26,FALSE)*(F144*10^3)*C144))</f>
        <v>0</v>
      </c>
      <c r="AS144" s="323">
        <f>IF(J144="Angiv ikke",0,((1+M144)*VLOOKUP(B144&amp;"_"&amp;J144,'LCA data'!$B$7:$AA$360,26,FALSE)*(K144*10^3)*C144))</f>
        <v>3004.7457627118647</v>
      </c>
      <c r="AT144" s="323"/>
      <c r="AU144" s="323"/>
      <c r="AV144" s="323"/>
      <c r="AW144" s="323"/>
      <c r="AX144" s="323"/>
      <c r="AY144" s="323"/>
      <c r="AZ144" s="323"/>
      <c r="BA144" s="323"/>
      <c r="BB144" s="323"/>
      <c r="BC144" s="323"/>
      <c r="BD144" s="323"/>
      <c r="BE144" s="323"/>
      <c r="BF144" s="323"/>
      <c r="BG144" s="323"/>
      <c r="BH144" s="323"/>
      <c r="BI144" s="323"/>
      <c r="BJ144" s="323"/>
      <c r="BK144" s="323"/>
      <c r="BL144" s="323"/>
      <c r="BM144" s="323"/>
      <c r="BN144" s="323"/>
      <c r="BO144" s="323"/>
      <c r="BP144" s="323"/>
      <c r="BQ144" s="323"/>
      <c r="BR144" s="323"/>
      <c r="BS144" s="323"/>
      <c r="BT144" s="323"/>
      <c r="BU144" s="323"/>
      <c r="BV144" s="323"/>
      <c r="BW144" s="323"/>
      <c r="BX144" s="323"/>
      <c r="BY144" s="323"/>
      <c r="BZ144" s="323"/>
      <c r="CA144" s="323"/>
      <c r="CB144" s="323"/>
      <c r="CC144" s="323"/>
      <c r="CD144" s="323"/>
      <c r="CE144" s="323"/>
      <c r="CF144" s="323"/>
      <c r="CG144" s="323"/>
      <c r="CH144" s="323"/>
      <c r="CI144" s="323"/>
      <c r="CJ144" s="323"/>
      <c r="CK144" s="323"/>
      <c r="CL144" s="323"/>
      <c r="CM144" s="323"/>
      <c r="CN144" s="323"/>
      <c r="CO144" s="323"/>
      <c r="CP144" s="439"/>
      <c r="CQ144" s="440"/>
      <c r="CR144" s="323"/>
      <c r="CS144" s="323"/>
      <c r="CT144" s="323"/>
      <c r="CU144" s="323"/>
      <c r="CV144" s="323"/>
      <c r="CW144" s="323"/>
      <c r="CX144" s="323"/>
      <c r="CY144" s="323"/>
      <c r="CZ144" s="323"/>
      <c r="EK144" s="1070"/>
      <c r="EL144" s="1070"/>
      <c r="EM144" s="1070"/>
      <c r="EN144" s="1070"/>
      <c r="EO144" s="1070"/>
      <c r="EP144" s="1070"/>
      <c r="EQ144" s="1070"/>
    </row>
    <row r="145" spans="2:222" ht="40.4" customHeight="1" thickBot="1" x14ac:dyDescent="0.4">
      <c r="B145" s="209" t="str">
        <f>'LCA data'!$B$105</f>
        <v>Loftsbeklædning</v>
      </c>
      <c r="C145" s="468">
        <f>IF($C$44-C155-C165-C175-C185&lt;0,0,$C$44-C155-C165-C175-C185)</f>
        <v>200</v>
      </c>
      <c r="D145" s="171" t="s">
        <v>103</v>
      </c>
      <c r="E145" s="344" t="str">
        <f>IF($E$141=$C$72,D145,VLOOKUP(B145,Auto_Tag[],VLOOKUP($X$28,Type_Tung_Middel_Let[],2,0),0))</f>
        <v>Akrylmaling på puds</v>
      </c>
      <c r="F145" s="474">
        <f>(VLOOKUP(E145,Pris.loft.beklædning[],4,0))/1000</f>
        <v>3.0000000000000001E-3</v>
      </c>
      <c r="G145" s="354"/>
      <c r="H145" s="355">
        <f>IFERROR(IF(VLOOKUP(B145&amp;"_"&amp;E145,'LCA data'!$B$7:$X$200,2,FALSE)&lt;$Y$24,1,0)+IF(VLOOKUP(B145&amp;"_"&amp;E145,'LCA data'!$B$7:$X$200,2,FALSE)*2&lt;$Y$24,1,0),"")</f>
        <v>0</v>
      </c>
      <c r="I145" s="171" t="s">
        <v>103</v>
      </c>
      <c r="J145" s="344" t="str">
        <f>IF($J$141=$C$72,I145,VLOOKUP(B145,Auto_Tag[],VLOOKUP($Y$28,Type_Tung_Middel_Let[],2,0),0))</f>
        <v>Bræddeloft</v>
      </c>
      <c r="K145" s="522">
        <f>(VLOOKUP(J145,Pris.loft.beklædning[],4,0))/1000</f>
        <v>1.4999999999999999E-2</v>
      </c>
      <c r="L145" s="519"/>
      <c r="M145" s="520">
        <f>IFERROR(IF(VLOOKUP(B145&amp;"_"&amp;J145,'LCA data'!$B$7:$X$200,2,FALSE)&lt;$Y$24,1,0)+IF(VLOOKUP(B145&amp;"_"&amp;J145,'LCA data'!$B$7:$X$200,2,FALSE)*2&lt;$Y$24,1,0),"")</f>
        <v>0</v>
      </c>
      <c r="N145" s="210">
        <f>W145/1000</f>
        <v>1.1600000000000001</v>
      </c>
      <c r="O145" s="879"/>
      <c r="P145" s="211">
        <f>X145/1000</f>
        <v>0.70400000000000074</v>
      </c>
      <c r="Q145" s="879"/>
      <c r="R145" s="212"/>
      <c r="S145" s="213"/>
      <c r="V145" s="251"/>
      <c r="W145" s="323">
        <f>IF(E145="Angiv ikke",0,((1+H145)*VLOOKUP(B145&amp;"_"&amp;E145,'LCA data'!$B$7:$X$360,19,FALSE)*(F145*10^3)*C145))</f>
        <v>1160.0000000000002</v>
      </c>
      <c r="X145" s="323">
        <f>IF(J145="Angiv ikke",0,((1+M145)*VLOOKUP(B145&amp;"_"&amp;J145,'LCA data'!$B$7:$X$360,19,FALSE)*(K145*10^3)*C145))</f>
        <v>704.00000000000068</v>
      </c>
      <c r="Y145" s="323"/>
      <c r="Z145" s="323"/>
      <c r="AA145" s="323"/>
      <c r="AB145" s="323"/>
      <c r="AC145" s="323"/>
      <c r="AD145" s="323"/>
      <c r="AE145" s="323"/>
      <c r="AF145" s="323"/>
      <c r="AG145" s="323"/>
      <c r="AH145" s="323"/>
      <c r="AI145" s="323"/>
      <c r="AJ145" s="323"/>
      <c r="AK145" s="323"/>
      <c r="AL145" s="323"/>
      <c r="AM145" s="323"/>
      <c r="AN145" s="323">
        <f>IF(E145="Angiv ikke",0,((1+H145)*VLOOKUP(B145&amp;"_"&amp;E145,'LCA data'!$B$7:$X$360,20,FALSE)*(F145*10^3)*C145))</f>
        <v>-4</v>
      </c>
      <c r="AO145" s="323">
        <f>IF(J145="Angiv ikke",0,((1+M145)*VLOOKUP(B145&amp;"_"&amp;J145,'LCA data'!$B$7:$X$360,20,FALSE)*(K145*10^3)*C145))</f>
        <v>-1057.4000000000001</v>
      </c>
      <c r="AP145" s="323"/>
      <c r="AQ145" s="323"/>
      <c r="AR145" s="323">
        <f>IF(E145="Angiv ikke",0,((1+H145)*VLOOKUP(B145&amp;"_"&amp;E145,'LCA data'!$B$7:$AA$360,26,FALSE)*(F145*10^3)*C145))</f>
        <v>0</v>
      </c>
      <c r="AS145" s="323">
        <f>IF(J145="Angiv ikke",0,((1+M145)*VLOOKUP(B145&amp;"_"&amp;J145,'LCA data'!$B$7:$AA$360,26,FALSE)*(K145*10^3)*C145))</f>
        <v>2218</v>
      </c>
      <c r="AT145" s="323"/>
      <c r="AU145" s="323"/>
      <c r="AV145" s="323"/>
      <c r="AW145" s="323"/>
      <c r="AX145" s="323"/>
      <c r="AY145" s="323"/>
      <c r="AZ145" s="323"/>
      <c r="BA145" s="323"/>
      <c r="BB145" s="323"/>
      <c r="BC145" s="323"/>
      <c r="BD145" s="323"/>
      <c r="BE145" s="323"/>
      <c r="BF145" s="323"/>
      <c r="BG145" s="323"/>
      <c r="BH145" s="323"/>
      <c r="BI145" s="323"/>
      <c r="BJ145" s="323"/>
      <c r="BK145" s="323"/>
      <c r="BL145" s="323"/>
      <c r="BM145" s="323"/>
      <c r="BN145" s="323"/>
      <c r="BO145" s="323"/>
      <c r="BP145" s="323"/>
      <c r="BQ145" s="323"/>
      <c r="BR145" s="323"/>
      <c r="BS145" s="323"/>
      <c r="BT145" s="323"/>
      <c r="BU145" s="323"/>
      <c r="BV145" s="323"/>
      <c r="BW145" s="323"/>
      <c r="BX145" s="323"/>
      <c r="BY145" s="323"/>
      <c r="BZ145" s="323"/>
      <c r="CA145" s="323"/>
      <c r="CB145" s="323"/>
      <c r="CC145" s="323"/>
      <c r="CD145" s="323"/>
      <c r="CE145" s="323"/>
      <c r="CF145" s="323"/>
      <c r="CG145" s="323"/>
      <c r="CH145" s="323"/>
      <c r="CI145" s="323"/>
      <c r="CJ145" s="323"/>
      <c r="CK145" s="323"/>
      <c r="CL145" s="323"/>
      <c r="CM145" s="323"/>
      <c r="CN145" s="323"/>
      <c r="CO145" s="323"/>
      <c r="CP145" s="1144" t="s">
        <v>77</v>
      </c>
      <c r="CQ145" s="1145"/>
      <c r="CR145" s="323"/>
      <c r="CS145" s="323"/>
      <c r="CT145" s="323"/>
      <c r="CU145" s="323"/>
      <c r="CV145" s="323"/>
      <c r="CW145" s="323"/>
      <c r="CX145" s="323"/>
      <c r="CY145" s="323"/>
      <c r="CZ145" s="323"/>
      <c r="EK145" s="1070"/>
      <c r="EL145" s="1070"/>
      <c r="EM145" s="1070"/>
      <c r="EN145" s="1070"/>
      <c r="EO145" s="1070"/>
      <c r="EP145" s="1070"/>
      <c r="EQ145" s="1070"/>
    </row>
    <row r="146" spans="2:222" ht="18.649999999999999" customHeight="1" x14ac:dyDescent="0.45">
      <c r="B146" s="173" t="s">
        <v>116</v>
      </c>
      <c r="C146" s="221"/>
      <c r="E146" s="228"/>
      <c r="F146" s="228"/>
      <c r="G146" s="228"/>
      <c r="H146" s="228"/>
      <c r="J146" s="228"/>
      <c r="K146" s="228"/>
      <c r="L146" s="228"/>
      <c r="M146" s="228"/>
      <c r="N146" s="229"/>
      <c r="O146" s="229"/>
      <c r="P146" s="230"/>
      <c r="Q146" s="239"/>
      <c r="S146" s="240"/>
      <c r="T146" s="175"/>
      <c r="V146" s="251"/>
      <c r="W146" s="323"/>
      <c r="X146" s="323"/>
      <c r="Y146" s="323"/>
      <c r="Z146" s="323"/>
      <c r="AA146" s="323"/>
      <c r="AB146" s="323"/>
      <c r="AC146" s="323"/>
      <c r="AD146" s="323"/>
      <c r="AE146" s="323"/>
      <c r="AF146" s="323"/>
      <c r="AG146" s="323"/>
      <c r="AH146" s="323"/>
      <c r="AI146" s="323" t="str">
        <f>IFERROR(VLOOKUP(B146&amp;"_"&amp;J146,'LCA data'!$B$7:$X$200,19,FALSE)*(K146*10^3)*C146,"")</f>
        <v/>
      </c>
      <c r="AJ146" s="323" t="str">
        <f>IFERROR(VLOOKUP($B146&amp;"_"&amp;J146,'LCA data'!$B$7:$X$238,2,FALSE),"")</f>
        <v/>
      </c>
      <c r="AK146" s="323" t="str">
        <f>IFERROR(IF(M146&gt;0,VLOOKUP(B146&amp;"_"&amp;J146,'LCA data'!$B$7:$X$200,19,FALSE)*(K146*10^3)*C146,""),"")</f>
        <v/>
      </c>
      <c r="AL146" s="323" t="str">
        <f>IFERROR(AJ146+VLOOKUP(B146&amp;"_"&amp;J146,'LCA data'!$B$7:$X$238,2,FALSE),"")</f>
        <v/>
      </c>
      <c r="AM146" s="323" t="str">
        <f>IFERROR(IF(M146-1&gt;0,VLOOKUP(B146&amp;"_"&amp;J146,'LCA data'!$B$7:$X$200,19,FALSE)*(K146*10^3)*C146,""),"")</f>
        <v/>
      </c>
      <c r="AN146" s="323" t="str">
        <f>IFERROR(AL146+VLOOKUP(B146&amp;"_"&amp;J146,'LCA data'!$B$7:$X$238,2,FALSE),"")</f>
        <v/>
      </c>
      <c r="AO146" s="323" t="str">
        <f>IFERROR(IF(M146-2&gt;0,VLOOKUP(B146&amp;"_"&amp;J146,'LCA data'!$B$7:$X$200,19,FALSE)*(K146*10^3)*C146,""),"")</f>
        <v/>
      </c>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c r="BN146" s="323"/>
      <c r="BO146" s="323"/>
      <c r="BP146" s="323"/>
      <c r="BQ146" s="323"/>
      <c r="BR146" s="323"/>
      <c r="BS146" s="323"/>
      <c r="BT146" s="323"/>
      <c r="BU146" s="323"/>
      <c r="BV146" s="323"/>
      <c r="BW146" s="323"/>
      <c r="BX146" s="323"/>
      <c r="BY146" s="323"/>
      <c r="BZ146" s="323"/>
      <c r="CA146" s="323"/>
      <c r="CB146" s="323"/>
      <c r="CC146" s="323"/>
      <c r="CD146" s="323"/>
      <c r="CE146" s="323"/>
      <c r="CF146" s="323"/>
      <c r="CG146" s="323"/>
      <c r="CH146" s="323"/>
      <c r="CI146" s="323"/>
      <c r="CJ146" s="323"/>
      <c r="CK146" s="323"/>
      <c r="CL146" s="323"/>
      <c r="CM146" s="323"/>
      <c r="CN146" s="323"/>
      <c r="CO146" s="323"/>
      <c r="CP146" s="431"/>
      <c r="CQ146" s="432"/>
      <c r="CR146" s="323"/>
      <c r="CS146" s="323"/>
      <c r="CT146" s="323"/>
      <c r="CU146" s="323"/>
      <c r="CV146" s="323"/>
      <c r="CW146" s="323"/>
      <c r="CX146" s="323"/>
      <c r="CY146" s="323"/>
      <c r="CZ146" s="323"/>
      <c r="EK146" s="1070"/>
      <c r="EL146" s="1070"/>
      <c r="EM146" s="1070"/>
      <c r="EN146" s="1070"/>
      <c r="EO146" s="1070"/>
      <c r="EP146" s="1070"/>
      <c r="EQ146" s="1070"/>
    </row>
    <row r="147" spans="2:222" ht="18.649999999999999" customHeight="1" thickBot="1" x14ac:dyDescent="0.5">
      <c r="B147" s="542"/>
      <c r="C147" s="550"/>
      <c r="D147" s="542"/>
      <c r="E147" s="553"/>
      <c r="F147" s="553"/>
      <c r="G147" s="553"/>
      <c r="H147" s="553"/>
      <c r="I147" s="542"/>
      <c r="J147" s="553"/>
      <c r="K147" s="553"/>
      <c r="L147" s="553"/>
      <c r="M147" s="553"/>
      <c r="N147" s="229"/>
      <c r="O147" s="229"/>
      <c r="P147" s="230"/>
      <c r="Q147" s="239"/>
      <c r="S147" s="240"/>
      <c r="T147" s="175"/>
      <c r="V147" s="251"/>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c r="BN147" s="323"/>
      <c r="BO147" s="323"/>
      <c r="BP147" s="323"/>
      <c r="BQ147" s="323"/>
      <c r="BR147" s="323"/>
      <c r="BS147" s="323"/>
      <c r="BT147" s="323"/>
      <c r="BU147" s="323"/>
      <c r="BV147" s="323"/>
      <c r="BW147" s="323"/>
      <c r="BX147" s="323"/>
      <c r="BY147" s="323"/>
      <c r="BZ147" s="323"/>
      <c r="CA147" s="323"/>
      <c r="CB147" s="323"/>
      <c r="CC147" s="323"/>
      <c r="CD147" s="323"/>
      <c r="CE147" s="323"/>
      <c r="CF147" s="323"/>
      <c r="CG147" s="323"/>
      <c r="CH147" s="323"/>
      <c r="CI147" s="323"/>
      <c r="CJ147" s="323"/>
      <c r="CK147" s="323"/>
      <c r="CL147" s="323"/>
      <c r="CM147" s="323"/>
      <c r="CN147" s="323"/>
      <c r="CO147" s="323"/>
      <c r="CP147" s="431"/>
      <c r="CQ147" s="432"/>
      <c r="CR147" s="323"/>
      <c r="CS147" s="323"/>
      <c r="CT147" s="323"/>
      <c r="CU147" s="323"/>
      <c r="CV147" s="323"/>
      <c r="CW147" s="323"/>
      <c r="CX147" s="323"/>
      <c r="CY147" s="323"/>
      <c r="CZ147" s="323"/>
      <c r="EK147" s="1070"/>
      <c r="EL147" s="1070"/>
      <c r="EM147" s="1070"/>
      <c r="EN147" s="1070"/>
      <c r="EO147" s="1070"/>
      <c r="EP147" s="1070"/>
      <c r="EQ147" s="1070"/>
    </row>
    <row r="148" spans="2:222" ht="35.25" customHeight="1" outlineLevel="1" x14ac:dyDescent="0.35">
      <c r="B148" s="493" t="s">
        <v>112</v>
      </c>
      <c r="C148" s="499"/>
      <c r="D148" s="499"/>
      <c r="E148" s="506" t="s">
        <v>114</v>
      </c>
      <c r="F148" s="499"/>
      <c r="G148" s="499"/>
      <c r="H148" s="499"/>
      <c r="I148" s="500" t="str">
        <f>"Tagkonstruktion"&amp;" "&amp;2</f>
        <v>Tagkonstruktion 2</v>
      </c>
      <c r="J148" s="500"/>
      <c r="K148" s="499"/>
      <c r="L148" s="499"/>
      <c r="M148" s="499"/>
      <c r="N148" s="499"/>
      <c r="O148" s="499"/>
      <c r="P148" s="499"/>
      <c r="Q148" s="501"/>
      <c r="R148" s="190"/>
      <c r="S148" s="191"/>
      <c r="V148" s="251"/>
      <c r="W148" s="323">
        <f>IF(D151=$D$82,1,0)</f>
        <v>1</v>
      </c>
      <c r="X148" s="323">
        <f>IF(I151=$D$82,1,0)</f>
        <v>1</v>
      </c>
      <c r="Y148" s="323"/>
      <c r="Z148" s="323"/>
      <c r="AA148" s="323"/>
      <c r="AB148" s="323"/>
      <c r="AC148" s="323"/>
      <c r="AD148" s="323"/>
      <c r="AE148" s="323"/>
      <c r="AF148" s="323"/>
      <c r="AG148" s="323"/>
      <c r="AH148" s="323"/>
      <c r="AI148" s="323"/>
      <c r="AJ148" s="323" t="s">
        <v>746</v>
      </c>
      <c r="AK148" s="323" t="s">
        <v>747</v>
      </c>
      <c r="AL148" s="323" t="str">
        <f>IFERROR(AJ148+VLOOKUP(E148&amp;"_"&amp;J148,'LCA data'!$B$7:$X$238,2,FALSE),"")</f>
        <v/>
      </c>
      <c r="AM148" s="323" t="str">
        <f>IFERROR(IF(M148-1&gt;0,VLOOKUP(E148&amp;"_"&amp;J148,'LCA data'!$B$7:$X$200,19,FALSE)*(K148*10^3)*C148,""),"")</f>
        <v/>
      </c>
      <c r="AN148" s="323" t="s">
        <v>846</v>
      </c>
      <c r="AO148" s="323"/>
      <c r="AP148" s="323"/>
      <c r="AQ148" s="323"/>
      <c r="AR148" s="323" t="s">
        <v>851</v>
      </c>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c r="BN148" s="323"/>
      <c r="BO148" s="323"/>
      <c r="BP148" s="323"/>
      <c r="BQ148" s="323"/>
      <c r="BR148" s="323"/>
      <c r="BS148" s="323"/>
      <c r="BT148" s="323"/>
      <c r="BU148" s="323"/>
      <c r="BV148" s="323"/>
      <c r="BW148" s="323"/>
      <c r="BX148" s="323"/>
      <c r="BY148" s="323"/>
      <c r="BZ148" s="323"/>
      <c r="CA148" s="323"/>
      <c r="CB148" s="323"/>
      <c r="CC148" s="323"/>
      <c r="CD148" s="323"/>
      <c r="CE148" s="323"/>
      <c r="CF148" s="323"/>
      <c r="CG148" s="323"/>
      <c r="CH148" s="323"/>
      <c r="CI148" s="323"/>
      <c r="CJ148" s="323"/>
      <c r="CK148" s="323"/>
      <c r="CL148" s="323"/>
      <c r="CM148" s="323"/>
      <c r="CN148" s="323"/>
      <c r="CO148" s="323"/>
      <c r="CP148" s="431"/>
      <c r="CQ148" s="433"/>
      <c r="CR148" s="323"/>
      <c r="CS148" s="323"/>
      <c r="CT148" s="323"/>
      <c r="CU148" s="323"/>
      <c r="CV148" s="323"/>
      <c r="CW148" s="323"/>
      <c r="CX148" s="323"/>
      <c r="CY148" s="323"/>
      <c r="CZ148" s="323"/>
      <c r="EK148" s="1070"/>
      <c r="EL148" s="1070"/>
      <c r="EM148" s="1070"/>
      <c r="EN148" s="1070"/>
      <c r="EO148" s="1070"/>
      <c r="EP148" s="1070"/>
      <c r="EQ148" s="1070"/>
    </row>
    <row r="149" spans="2:222" ht="40.4" customHeight="1" outlineLevel="1" x14ac:dyDescent="0.35">
      <c r="B149" s="359" t="s">
        <v>78</v>
      </c>
      <c r="C149" s="195" t="s">
        <v>80</v>
      </c>
      <c r="D149" s="910" t="s">
        <v>4</v>
      </c>
      <c r="E149" s="911"/>
      <c r="F149" s="911"/>
      <c r="G149" s="911"/>
      <c r="H149" s="912"/>
      <c r="I149" s="885" t="s">
        <v>5</v>
      </c>
      <c r="J149" s="886"/>
      <c r="K149" s="886"/>
      <c r="L149" s="886"/>
      <c r="M149" s="887"/>
      <c r="N149" s="877" t="s">
        <v>79</v>
      </c>
      <c r="O149" s="877"/>
      <c r="P149" s="877"/>
      <c r="Q149" s="881"/>
      <c r="R149" s="192"/>
      <c r="S149" s="193"/>
      <c r="T149" s="175"/>
      <c r="V149" s="251"/>
      <c r="W149" s="323"/>
      <c r="X149" s="323"/>
      <c r="Y149" s="323"/>
      <c r="Z149" s="323"/>
      <c r="AA149" s="323"/>
      <c r="AB149" s="323"/>
      <c r="AC149" s="323"/>
      <c r="AD149" s="323"/>
      <c r="AE149" s="323"/>
      <c r="AF149" s="323"/>
      <c r="AG149" s="323"/>
      <c r="AH149" s="323"/>
      <c r="AI149" s="323" t="str">
        <f>'LCA data'!$B$77</f>
        <v>Tagbelægning</v>
      </c>
      <c r="AJ149" s="323">
        <f>VLOOKUP(E152,Pris.tag.beklædning[],2,0)*C152</f>
        <v>0</v>
      </c>
      <c r="AK149" s="323">
        <f>VLOOKUP(J152,Pris.tag.beklædning[],2,0)*C152</f>
        <v>0</v>
      </c>
      <c r="AL149" s="323" t="str">
        <f>IFERROR(AJ149+VLOOKUP(B149&amp;"_"&amp;I149,'LCA data'!$B$7:$X$238,2,FALSE),"")</f>
        <v/>
      </c>
      <c r="AM149" s="323" t="str">
        <f>IFERROR(IF(M149-1&gt;0,VLOOKUP(B149&amp;"_"&amp;I149,'LCA data'!$B$7:$X$200,19,FALSE)*(K149*10^3)*#REF!,""),"")</f>
        <v/>
      </c>
      <c r="AN149" s="323" t="s">
        <v>4</v>
      </c>
      <c r="AO149" s="323" t="s">
        <v>5</v>
      </c>
      <c r="AP149" s="323"/>
      <c r="AQ149" s="323"/>
      <c r="AR149" s="323" t="s">
        <v>4</v>
      </c>
      <c r="AS149" s="323" t="s">
        <v>5</v>
      </c>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c r="BO149" s="323"/>
      <c r="BP149" s="323"/>
      <c r="BQ149" s="323"/>
      <c r="BR149" s="323"/>
      <c r="BS149" s="323"/>
      <c r="BT149" s="323"/>
      <c r="BU149" s="323"/>
      <c r="BV149" s="323"/>
      <c r="BW149" s="323"/>
      <c r="BX149" s="323"/>
      <c r="BY149" s="323"/>
      <c r="BZ149" s="323"/>
      <c r="CA149" s="323"/>
      <c r="CB149" s="323"/>
      <c r="CC149" s="323"/>
      <c r="CD149" s="323"/>
      <c r="CE149" s="323"/>
      <c r="CF149" s="323"/>
      <c r="CG149" s="323"/>
      <c r="CH149" s="323"/>
      <c r="CI149" s="323"/>
      <c r="CJ149" s="323"/>
      <c r="CK149" s="323"/>
      <c r="CL149" s="323"/>
      <c r="CM149" s="323"/>
      <c r="CN149" s="323"/>
      <c r="CO149" s="323"/>
      <c r="CP149" s="431"/>
      <c r="CQ149" s="434"/>
      <c r="CR149" s="323"/>
      <c r="CS149" s="323"/>
      <c r="CT149" s="323"/>
      <c r="CU149" s="323"/>
      <c r="CV149" s="323"/>
      <c r="CW149" s="323"/>
      <c r="CX149" s="323"/>
      <c r="CY149" s="323"/>
      <c r="CZ149" s="323"/>
      <c r="EK149" s="1070"/>
      <c r="EL149" s="1070"/>
      <c r="EM149" s="1070"/>
      <c r="EN149" s="1070"/>
      <c r="EO149" s="1070"/>
      <c r="EP149" s="1070"/>
      <c r="EQ149" s="1070"/>
    </row>
    <row r="150" spans="2:222" ht="44.9" customHeight="1" outlineLevel="1" x14ac:dyDescent="0.35">
      <c r="B150" s="194"/>
      <c r="C150" s="665">
        <v>0</v>
      </c>
      <c r="D150" s="908" t="s">
        <v>797</v>
      </c>
      <c r="E150" s="909"/>
      <c r="F150" s="338" t="s">
        <v>82</v>
      </c>
      <c r="G150" s="338" t="s">
        <v>83</v>
      </c>
      <c r="H150" s="346" t="s">
        <v>84</v>
      </c>
      <c r="I150" s="913" t="s">
        <v>797</v>
      </c>
      <c r="J150" s="914"/>
      <c r="K150" s="479" t="s">
        <v>82</v>
      </c>
      <c r="L150" s="479" t="s">
        <v>83</v>
      </c>
      <c r="M150" s="508" t="s">
        <v>84</v>
      </c>
      <c r="N150" s="195" t="s">
        <v>4</v>
      </c>
      <c r="O150" s="195" t="s">
        <v>85</v>
      </c>
      <c r="P150" s="195" t="s">
        <v>5</v>
      </c>
      <c r="Q150" s="357" t="s">
        <v>86</v>
      </c>
      <c r="R150" s="192"/>
      <c r="S150" s="196"/>
      <c r="V150" s="251"/>
      <c r="W150" s="323" t="s">
        <v>87</v>
      </c>
      <c r="X150" s="323" t="s">
        <v>88</v>
      </c>
      <c r="Y150" s="323" t="s">
        <v>89</v>
      </c>
      <c r="Z150" s="323" t="s">
        <v>90</v>
      </c>
      <c r="AA150" s="323" t="s">
        <v>91</v>
      </c>
      <c r="AB150" s="323"/>
      <c r="AC150" s="323"/>
      <c r="AD150" s="323"/>
      <c r="AE150" s="323" t="s">
        <v>92</v>
      </c>
      <c r="AF150" s="323"/>
      <c r="AG150" s="323"/>
      <c r="AH150" s="323"/>
      <c r="AI150" s="323" t="s">
        <v>209</v>
      </c>
      <c r="AJ150" s="323">
        <f>VLOOKUP(E153,Pris.isolering.tag[],2,0)*F153*C153</f>
        <v>0</v>
      </c>
      <c r="AK150" s="323">
        <f>VLOOKUP(J153,Pris.isolering.tag[],2,0)*K153*C153</f>
        <v>0</v>
      </c>
      <c r="AL150" s="323" t="str">
        <f>IFERROR(AJ150+VLOOKUP(B150&amp;"_"&amp;J150,'LCA data'!$B$7:$X$238,2,FALSE),"")</f>
        <v/>
      </c>
      <c r="AM150" s="323" t="str">
        <f>IFERROR(IF(M150-1&gt;0,VLOOKUP(B150&amp;"_"&amp;J150,'LCA data'!$B$7:$X$200,19,FALSE)*(K150*10^3)*C149,""),"")</f>
        <v/>
      </c>
      <c r="AN150" s="323">
        <f>SUM(AN152:AN156)</f>
        <v>0</v>
      </c>
      <c r="AO150" s="323">
        <f>SUM(AO152:AO156)</f>
        <v>0</v>
      </c>
      <c r="AP150" s="323"/>
      <c r="AQ150" s="323"/>
      <c r="AR150" s="323">
        <f>SUM(AR152:AR155)</f>
        <v>0</v>
      </c>
      <c r="AS150" s="323">
        <f>SUM(AS152:AS155)</f>
        <v>0</v>
      </c>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c r="BO150" s="323"/>
      <c r="BP150" s="323"/>
      <c r="BQ150" s="323"/>
      <c r="BR150" s="323"/>
      <c r="BS150" s="323"/>
      <c r="BT150" s="323"/>
      <c r="BU150" s="323"/>
      <c r="BV150" s="323"/>
      <c r="BW150" s="323"/>
      <c r="BX150" s="323"/>
      <c r="BY150" s="323"/>
      <c r="BZ150" s="323"/>
      <c r="CA150" s="323"/>
      <c r="CB150" s="323"/>
      <c r="CC150" s="323"/>
      <c r="CD150" s="323"/>
      <c r="CE150" s="323"/>
      <c r="CF150" s="323"/>
      <c r="CG150" s="323"/>
      <c r="CH150" s="323"/>
      <c r="CI150" s="323"/>
      <c r="CJ150" s="323"/>
      <c r="CK150" s="323"/>
      <c r="CL150" s="323"/>
      <c r="CM150" s="323"/>
      <c r="CN150" s="323"/>
      <c r="CO150" s="323"/>
      <c r="CP150" s="431"/>
      <c r="CQ150" s="433"/>
      <c r="CR150" s="323"/>
      <c r="CS150" s="323"/>
      <c r="CT150" s="323"/>
      <c r="CU150" s="323"/>
      <c r="CV150" s="323"/>
      <c r="CW150" s="323"/>
      <c r="CX150" s="323"/>
      <c r="CY150" s="323"/>
      <c r="CZ150" s="323"/>
      <c r="EK150" s="1070"/>
      <c r="EL150" s="1070"/>
      <c r="EM150" s="1070"/>
      <c r="EN150" s="1070"/>
      <c r="EO150" s="1070"/>
      <c r="EP150" s="1070"/>
      <c r="EQ150" s="1070"/>
    </row>
    <row r="151" spans="2:222" s="198" customFormat="1" ht="26" customHeight="1" outlineLevel="1" x14ac:dyDescent="0.35">
      <c r="B151" s="199"/>
      <c r="C151" s="200" t="s">
        <v>93</v>
      </c>
      <c r="D151" s="915" t="s">
        <v>811</v>
      </c>
      <c r="E151" s="915"/>
      <c r="F151" s="347" t="s">
        <v>94</v>
      </c>
      <c r="G151" s="348" t="s">
        <v>95</v>
      </c>
      <c r="H151" s="349" t="s">
        <v>96</v>
      </c>
      <c r="I151" s="915" t="s">
        <v>811</v>
      </c>
      <c r="J151" s="915"/>
      <c r="K151" s="510" t="s">
        <v>94</v>
      </c>
      <c r="L151" s="511" t="s">
        <v>95</v>
      </c>
      <c r="M151" s="512" t="s">
        <v>96</v>
      </c>
      <c r="N151" s="201" t="s">
        <v>97</v>
      </c>
      <c r="O151" s="201" t="s">
        <v>97</v>
      </c>
      <c r="P151" s="201" t="s">
        <v>97</v>
      </c>
      <c r="Q151" s="358" t="s">
        <v>97</v>
      </c>
      <c r="R151" s="202"/>
      <c r="S151" s="203"/>
      <c r="T151" s="204"/>
      <c r="U151" s="204"/>
      <c r="V151" s="325"/>
      <c r="W151" s="323">
        <f>SUM(W152:W155)</f>
        <v>0</v>
      </c>
      <c r="X151" s="323">
        <f>SUM(X152:X155)</f>
        <v>0</v>
      </c>
      <c r="Y151" s="323"/>
      <c r="Z151" s="323"/>
      <c r="AA151" s="323"/>
      <c r="AB151" s="323" t="s">
        <v>111</v>
      </c>
      <c r="AC151" s="323" t="s">
        <v>98</v>
      </c>
      <c r="AD151" s="323" t="s">
        <v>99</v>
      </c>
      <c r="AE151" s="323" t="s">
        <v>100</v>
      </c>
      <c r="AF151" s="323"/>
      <c r="AG151" s="323"/>
      <c r="AH151" s="323"/>
      <c r="AI151" s="323" t="str">
        <f>'LCA data'!$B$93</f>
        <v>Tagkonstruktion</v>
      </c>
      <c r="AJ151" s="323">
        <f>VLOOKUP(E154,Pris.tag.konstruktion[],2,0)*C154</f>
        <v>0</v>
      </c>
      <c r="AK151" s="323">
        <f>VLOOKUP(J154,Pris.tag.konstruktion[],2,0)*C154</f>
        <v>0</v>
      </c>
      <c r="AL151" s="323" t="str">
        <f>IFERROR(AJ151+VLOOKUP(B151&amp;"_"&amp;J151,'LCA data'!$B$7:$X$238,2,FALSE),"")</f>
        <v/>
      </c>
      <c r="AM151" s="323" t="str">
        <f>IFERROR(IF(M151-1&gt;0,VLOOKUP(B151&amp;"_"&amp;J151,'LCA data'!$B$7:$X$200,19,FALSE)*(K151*10^3)*C150,""),"")</f>
        <v/>
      </c>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323"/>
      <c r="CE151" s="323"/>
      <c r="CF151" s="323"/>
      <c r="CG151" s="323"/>
      <c r="CH151" s="323"/>
      <c r="CI151" s="323"/>
      <c r="CJ151" s="323"/>
      <c r="CK151" s="323"/>
      <c r="CL151" s="323"/>
      <c r="CM151" s="323"/>
      <c r="CN151" s="323"/>
      <c r="CO151" s="323"/>
      <c r="CP151" s="431"/>
      <c r="CQ151" s="433"/>
      <c r="CR151" s="323"/>
      <c r="CS151" s="323"/>
      <c r="CT151" s="323"/>
      <c r="CU151" s="323"/>
      <c r="CV151" s="323"/>
      <c r="CW151" s="323"/>
      <c r="CX151" s="323"/>
      <c r="CY151" s="323"/>
      <c r="CZ151" s="323"/>
      <c r="DA151" s="325"/>
      <c r="DB151" s="325"/>
      <c r="DC151" s="325"/>
      <c r="DD151" s="325"/>
      <c r="DE151" s="325"/>
      <c r="DF151" s="325"/>
      <c r="DG151" s="325"/>
      <c r="DH151" s="325"/>
      <c r="DI151" s="325"/>
      <c r="DJ151" s="325"/>
      <c r="DK151" s="325"/>
      <c r="DL151" s="325"/>
      <c r="DM151" s="325"/>
      <c r="DN151" s="325"/>
      <c r="DO151" s="325"/>
      <c r="DP151" s="325"/>
      <c r="DQ151" s="325"/>
      <c r="DR151" s="325"/>
      <c r="DS151" s="325"/>
      <c r="DT151" s="325"/>
      <c r="DU151" s="325"/>
      <c r="DV151" s="325"/>
      <c r="DW151" s="325"/>
      <c r="DX151" s="325"/>
      <c r="DY151" s="325"/>
      <c r="DZ151" s="325"/>
      <c r="EA151" s="325"/>
      <c r="EB151" s="325"/>
      <c r="EC151" s="325"/>
      <c r="ED151" s="325"/>
      <c r="EE151" s="325"/>
      <c r="EF151" s="325"/>
      <c r="EG151" s="325"/>
      <c r="EH151" s="325"/>
      <c r="EI151" s="325"/>
      <c r="EJ151" s="325"/>
      <c r="EK151" s="1072"/>
      <c r="EL151" s="1072"/>
      <c r="EM151" s="1072"/>
      <c r="EN151" s="1072"/>
      <c r="EO151" s="1072"/>
      <c r="EP151" s="1072"/>
      <c r="EQ151" s="1072"/>
      <c r="ER151" s="325"/>
      <c r="ES151" s="325"/>
      <c r="ET151" s="325"/>
      <c r="EU151" s="325"/>
      <c r="EV151" s="325"/>
      <c r="EW151" s="325"/>
      <c r="EX151" s="325"/>
      <c r="EY151" s="325"/>
      <c r="EZ151" s="325"/>
      <c r="FA151" s="325"/>
      <c r="FB151" s="325"/>
      <c r="FC151" s="325"/>
      <c r="FD151" s="325"/>
      <c r="FE151" s="325"/>
      <c r="FF151" s="325"/>
      <c r="FG151" s="325"/>
      <c r="FH151" s="325"/>
      <c r="FI151" s="325"/>
      <c r="FJ151" s="325"/>
      <c r="FK151" s="325"/>
      <c r="FL151" s="325"/>
      <c r="FM151" s="325"/>
      <c r="FN151" s="325"/>
      <c r="FO151" s="325"/>
      <c r="FP151" s="325"/>
      <c r="FQ151" s="325"/>
      <c r="FR151" s="325"/>
      <c r="FS151" s="325"/>
      <c r="FT151" s="325"/>
      <c r="FU151" s="325"/>
      <c r="FV151" s="325"/>
      <c r="FW151" s="325"/>
      <c r="FX151" s="325"/>
      <c r="FY151" s="325"/>
      <c r="FZ151" s="325"/>
      <c r="GA151" s="325"/>
      <c r="GB151" s="325"/>
      <c r="GC151" s="325"/>
      <c r="GD151" s="325"/>
      <c r="GE151" s="325"/>
      <c r="GF151" s="325"/>
      <c r="GG151" s="325"/>
      <c r="GH151" s="325"/>
      <c r="GI151" s="325"/>
      <c r="GJ151" s="325"/>
      <c r="GK151" s="325"/>
      <c r="GL151" s="325"/>
      <c r="GM151" s="325"/>
      <c r="GN151" s="325"/>
      <c r="GO151" s="325"/>
      <c r="GP151" s="325"/>
      <c r="GQ151" s="325"/>
      <c r="GR151" s="325"/>
      <c r="GS151" s="325"/>
      <c r="GT151" s="325"/>
      <c r="GU151" s="325"/>
      <c r="GV151" s="325"/>
      <c r="GW151" s="325"/>
      <c r="GX151" s="325"/>
      <c r="GY151" s="325"/>
      <c r="GZ151" s="325"/>
      <c r="HA151" s="325"/>
      <c r="HB151" s="325"/>
      <c r="HC151" s="325"/>
      <c r="HD151" s="325"/>
      <c r="HE151" s="325"/>
      <c r="HF151" s="325"/>
      <c r="HG151" s="325"/>
      <c r="HH151" s="325"/>
      <c r="HI151" s="325"/>
      <c r="HJ151" s="325"/>
      <c r="HK151" s="325"/>
      <c r="HL151" s="325"/>
      <c r="HM151" s="325"/>
      <c r="HN151" s="325"/>
    </row>
    <row r="152" spans="2:222" ht="40.4" customHeight="1" outlineLevel="1" x14ac:dyDescent="0.35">
      <c r="B152" s="363" t="str">
        <f>'LCA data'!$B$77</f>
        <v>Tagbelægning</v>
      </c>
      <c r="C152" s="466">
        <f>$C$150*$C$44</f>
        <v>0</v>
      </c>
      <c r="D152" s="15" t="s">
        <v>103</v>
      </c>
      <c r="E152" s="342" t="str">
        <f>IF($D$151=$D$82,D152,VLOOKUP(B152,Auto_Tag[],VLOOKUP($D$151,Type_Tung_Middel_Let[],2,0),0))</f>
        <v>Angiv ikke</v>
      </c>
      <c r="F152" s="356">
        <f>(VLOOKUP(E152,Pris.tag.beklædning[],4,0))/1000</f>
        <v>0</v>
      </c>
      <c r="G152" s="350"/>
      <c r="H152" s="351" t="str">
        <f>IFERROR(IF(VLOOKUP(B152&amp;"_"&amp;E152,'LCA data'!$B$7:$X$200,2,FALSE)&lt;$Y$24,1,0)+IF(VLOOKUP(B152&amp;"_"&amp;E152,'LCA data'!$B$7:$X$200,2,FALSE)*2&lt;$Y$24,1,0),"")</f>
        <v/>
      </c>
      <c r="I152" s="15" t="s">
        <v>103</v>
      </c>
      <c r="J152" s="342" t="str">
        <f>IF($I$151=$D$82,I152,VLOOKUP(B152,Auto_Tag[],VLOOKUP($I$151,Type_Tung_Middel_Let[],2,0),0))</f>
        <v>Angiv ikke</v>
      </c>
      <c r="K152" s="513">
        <f>(VLOOKUP(J152,Pris.tag.beklædning[],4,0))/1000</f>
        <v>0</v>
      </c>
      <c r="L152" s="514"/>
      <c r="M152" s="515" t="str">
        <f>IFERROR(IF(VLOOKUP(B152&amp;"_"&amp;J152,'LCA data'!$B$7:$X$200,2,FALSE)&lt;$Y$24,1,0)+IF(VLOOKUP(B152&amp;"_"&amp;J152,'LCA data'!$B$7:$X$200,2,FALSE)*2&lt;$Y$24,1,0),"")</f>
        <v/>
      </c>
      <c r="N152" s="364">
        <f>W152/1000</f>
        <v>0</v>
      </c>
      <c r="O152" s="880">
        <f>SUM(N152:N155)</f>
        <v>0</v>
      </c>
      <c r="P152" s="365">
        <f>X152/1000</f>
        <v>0</v>
      </c>
      <c r="Q152" s="888">
        <f>SUM(P152:P155)</f>
        <v>0</v>
      </c>
      <c r="R152" s="192"/>
      <c r="S152" s="196"/>
      <c r="V152" s="251"/>
      <c r="W152" s="323">
        <f>IF(E152="Angiv ikke",0,((1+H152)*VLOOKUP(B152&amp;"_"&amp;E152,'LCA data'!$B$7:$X$360,19,FALSE)*(F152*10^3)*C152))</f>
        <v>0</v>
      </c>
      <c r="X152" s="323">
        <f>IF(J152="Angiv ikke",0,((1+M152)*VLOOKUP(B152&amp;"_"&amp;J152,'LCA data'!$B$7:$X$360,19,FALSE)*(K152*10^3)*C152))</f>
        <v>0</v>
      </c>
      <c r="Y152" s="323"/>
      <c r="Z152" s="323"/>
      <c r="AA152" s="323" t="s">
        <v>4</v>
      </c>
      <c r="AB152" s="323">
        <f>AF152/$J$21/$Y$24*1000</f>
        <v>0</v>
      </c>
      <c r="AC152" s="323">
        <f>Varmetab!H73</f>
        <v>0</v>
      </c>
      <c r="AD152" s="323">
        <f>AB152+AC152</f>
        <v>0</v>
      </c>
      <c r="AE152" s="323" t="s">
        <v>4</v>
      </c>
      <c r="AF152" s="323">
        <f>W151/1000</f>
        <v>0</v>
      </c>
      <c r="AG152" s="323"/>
      <c r="AH152" s="323"/>
      <c r="AI152" s="323" t="str">
        <f>'LCA data'!$B$105</f>
        <v>Loftsbeklædning</v>
      </c>
      <c r="AJ152" s="323">
        <f>VLOOKUP(E155,Pris.loft.beklædning[],2,0)*C155</f>
        <v>0</v>
      </c>
      <c r="AK152" s="323">
        <f>VLOOKUP(J155,Pris.loft.beklædning[],2,0)*C155</f>
        <v>0</v>
      </c>
      <c r="AL152" s="323" t="str">
        <f>IFERROR(AJ152+VLOOKUP(B152&amp;"_"&amp;J152,'LCA data'!$B$7:$X$238,2,FALSE),"")</f>
        <v/>
      </c>
      <c r="AM152" s="323" t="str">
        <f>IFERROR(IF(M152-1&gt;0,VLOOKUP(B152&amp;"_"&amp;J152,'LCA data'!$B$7:$X$200,19,FALSE)*(K152*10^3)*C152,""),"")</f>
        <v/>
      </c>
      <c r="AN152" s="323">
        <f>IF(E152="Angiv ikke",0,((1+H152)*VLOOKUP(B152&amp;"_"&amp;E152,'LCA data'!$B$7:$X$360,20,FALSE)*(F152*10^3)*C152))</f>
        <v>0</v>
      </c>
      <c r="AO152" s="323">
        <f>IF(J152="Angiv ikke",0,((1+M152)*VLOOKUP(B152&amp;"_"&amp;J152,'LCA data'!$B$7:$X$360,20,FALSE)*(K152*10^3)*C152))</f>
        <v>0</v>
      </c>
      <c r="AP152" s="323"/>
      <c r="AQ152" s="323"/>
      <c r="AR152" s="323">
        <f>IF(E152="Angiv ikke",0,((1+H152)*VLOOKUP(B152&amp;"_"&amp;E152,'LCA data'!$B$7:$AA$360,26,FALSE)*(F152*10^3)*C152))</f>
        <v>0</v>
      </c>
      <c r="AS152" s="323">
        <f>IF(J152="Angiv ikke",0,((1+M152)*VLOOKUP(B152&amp;"_"&amp;J152,'LCA data'!$B$7:$AA$360,26,FALSE)*(K152*10^3)*C152))</f>
        <v>0</v>
      </c>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c r="BO152" s="323"/>
      <c r="BP152" s="323"/>
      <c r="BQ152" s="323"/>
      <c r="BR152" s="323"/>
      <c r="BS152" s="323"/>
      <c r="BT152" s="323"/>
      <c r="BU152" s="323"/>
      <c r="BV152" s="323"/>
      <c r="BW152" s="323"/>
      <c r="BX152" s="323"/>
      <c r="BY152" s="323"/>
      <c r="BZ152" s="323"/>
      <c r="CA152" s="323"/>
      <c r="CB152" s="323"/>
      <c r="CC152" s="323"/>
      <c r="CD152" s="323"/>
      <c r="CE152" s="323"/>
      <c r="CF152" s="323"/>
      <c r="CG152" s="323"/>
      <c r="CH152" s="323"/>
      <c r="CI152" s="323"/>
      <c r="CJ152" s="323"/>
      <c r="CK152" s="323"/>
      <c r="CL152" s="323"/>
      <c r="CM152" s="323"/>
      <c r="CN152" s="323"/>
      <c r="CO152" s="323"/>
      <c r="CP152" s="435"/>
      <c r="CQ152" s="433"/>
      <c r="CR152" s="323"/>
      <c r="CS152" s="323"/>
      <c r="CT152" s="323"/>
      <c r="CU152" s="323"/>
      <c r="CV152" s="323"/>
      <c r="CW152" s="323"/>
      <c r="CX152" s="323"/>
      <c r="CY152" s="323"/>
      <c r="CZ152" s="323"/>
      <c r="EK152" s="1070"/>
      <c r="EL152" s="1070"/>
      <c r="EM152" s="1070"/>
      <c r="EN152" s="1070"/>
      <c r="EO152" s="1070"/>
      <c r="EP152" s="1070"/>
      <c r="EQ152" s="1070"/>
    </row>
    <row r="153" spans="2:222" ht="40.4" customHeight="1" outlineLevel="1" thickBot="1" x14ac:dyDescent="0.4">
      <c r="B153" s="208" t="str">
        <f>'LCA data'!B$32</f>
        <v>Isolering</v>
      </c>
      <c r="C153" s="466">
        <f t="shared" ref="C153:C155" si="13">$C$150*$C$44</f>
        <v>0</v>
      </c>
      <c r="D153" s="168" t="s">
        <v>103</v>
      </c>
      <c r="E153" s="342" t="str">
        <f>IF($D$151=$D$82,D153,VLOOKUP(B153,Auto_Tag[],VLOOKUP($D$151,Type_Tung_Middel_Let[],2,0),0))</f>
        <v>Angiv ikke</v>
      </c>
      <c r="F153" s="11">
        <v>0.4</v>
      </c>
      <c r="G153" s="473" t="str">
        <f>VLOOKUP(E153,Isoleringsmateriale[],2,0)</f>
        <v>?</v>
      </c>
      <c r="H153" s="351" t="str">
        <f>IFERROR(IF(VLOOKUP(B153&amp;"_"&amp;E153,'LCA data'!$B$7:$X$200,2,FALSE)&lt;$Y$24,1,0)+IF(VLOOKUP(B153&amp;"_"&amp;E153,'LCA data'!$B$7:$X$200,2,FALSE)*2&lt;$Y$24,1,0),"")</f>
        <v/>
      </c>
      <c r="I153" s="168" t="s">
        <v>103</v>
      </c>
      <c r="J153" s="342" t="str">
        <f>IF($I$151=$D$82,I153,VLOOKUP(B153,Auto_Tag[],VLOOKUP($I$151,Type_Tung_Middel_Let[],2,0),0))</f>
        <v>Angiv ikke</v>
      </c>
      <c r="K153" s="11">
        <v>0.4</v>
      </c>
      <c r="L153" s="473" t="str">
        <f>VLOOKUP(J153,Isoleringsmateriale[],2,0)</f>
        <v>?</v>
      </c>
      <c r="M153" s="515" t="str">
        <f>IFERROR(IF(VLOOKUP(B153&amp;"_"&amp;J153,'LCA data'!$B$7:$X$200,2,FALSE)&lt;$Y$24,1,0)+IF(VLOOKUP(B153&amp;"_"&amp;J153,'LCA data'!$B$7:$X$200,2,FALSE)*2&lt;$Y$24,1,0),"")</f>
        <v/>
      </c>
      <c r="N153" s="206">
        <f>W153/1000</f>
        <v>0</v>
      </c>
      <c r="O153" s="878"/>
      <c r="P153" s="207">
        <f>X153/1000</f>
        <v>0</v>
      </c>
      <c r="Q153" s="889"/>
      <c r="R153" s="192"/>
      <c r="S153" s="196"/>
      <c r="V153" s="251"/>
      <c r="W153" s="323">
        <f>IF(E153="Angiv ikke",0,((1+H153)*VLOOKUP(B153&amp;"_"&amp;E153,'LCA data'!$B$7:$X$360,19,FALSE)*(F153*10^3)*C153))</f>
        <v>0</v>
      </c>
      <c r="X153" s="323">
        <f>IF(J153="Angiv ikke",0,((1+M153)*VLOOKUP(B153&amp;"_"&amp;J153,'LCA data'!$B$7:$X$360,19,FALSE)*(K153*10^3)*C153))</f>
        <v>0</v>
      </c>
      <c r="Y153" s="323">
        <f>IF(G153="_",0,Varmetab!H73*$J$21*$Y$24)</f>
        <v>0</v>
      </c>
      <c r="Z153" s="323">
        <f>IF(L153="_",0,Varmetab!I73*$J$21*$Y$24)</f>
        <v>0</v>
      </c>
      <c r="AA153" s="323" t="s">
        <v>5</v>
      </c>
      <c r="AB153" s="323">
        <f>AG153/$J$21/$Y$24*1000</f>
        <v>0</v>
      </c>
      <c r="AC153" s="323">
        <f>Varmetab!I73</f>
        <v>0</v>
      </c>
      <c r="AD153" s="323">
        <f>AB153+AC153</f>
        <v>0</v>
      </c>
      <c r="AE153" s="323" t="s">
        <v>5</v>
      </c>
      <c r="AF153" s="323"/>
      <c r="AG153" s="323">
        <f>X151/1000</f>
        <v>0</v>
      </c>
      <c r="AH153" s="323"/>
      <c r="AI153" s="323" t="s">
        <v>743</v>
      </c>
      <c r="AJ153" s="323">
        <f>SUM(AJ149:AJ152)</f>
        <v>0</v>
      </c>
      <c r="AK153" s="323">
        <f>SUM(AK149:AK152)</f>
        <v>0</v>
      </c>
      <c r="AL153" s="323" t="str">
        <f>IFERROR(AJ153+VLOOKUP(B153&amp;"_"&amp;J153,'LCA data'!$B$7:$X$238,2,FALSE),"")</f>
        <v/>
      </c>
      <c r="AM153" s="323" t="str">
        <f>IFERROR(IF(M153-1&gt;0,VLOOKUP(B153&amp;"_"&amp;J153,'LCA data'!$B$7:$X$200,19,FALSE)*(K153*10^3)*C153,""),"")</f>
        <v/>
      </c>
      <c r="AN153" s="323">
        <f>IF(E153="Angiv ikke",0,((1+H153)*VLOOKUP(B153&amp;"_"&amp;E153,'LCA data'!$B$7:$X$360,20,FALSE)*(F153*10^3)*C153))</f>
        <v>0</v>
      </c>
      <c r="AO153" s="323">
        <f>IF(J153="Angiv ikke",0,((1+M153)*VLOOKUP(B153&amp;"_"&amp;J153,'LCA data'!$B$7:$X$360,20,FALSE)*(K153*10^3)*C153))</f>
        <v>0</v>
      </c>
      <c r="AP153" s="323"/>
      <c r="AQ153" s="323"/>
      <c r="AR153" s="323">
        <f>IF(E153="Angiv ikke",0,((1+H153)*VLOOKUP(B153&amp;"_"&amp;E153,'LCA data'!$B$7:$AA$360,26,FALSE)*(F153*10^3)*C153))</f>
        <v>0</v>
      </c>
      <c r="AS153" s="323">
        <f>IF(J153="Angiv ikke",0,((1+M153)*VLOOKUP(B153&amp;"_"&amp;J153,'LCA data'!$B$7:$AA$360,26,FALSE)*(K153*10^3)*C153))</f>
        <v>0</v>
      </c>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c r="BO153" s="323"/>
      <c r="BP153" s="323"/>
      <c r="BQ153" s="323"/>
      <c r="BR153" s="323"/>
      <c r="BS153" s="323"/>
      <c r="BT153" s="323"/>
      <c r="BU153" s="323"/>
      <c r="BV153" s="323"/>
      <c r="BW153" s="323"/>
      <c r="BX153" s="323"/>
      <c r="BY153" s="323"/>
      <c r="BZ153" s="323"/>
      <c r="CA153" s="323"/>
      <c r="CB153" s="323"/>
      <c r="CC153" s="323"/>
      <c r="CD153" s="323"/>
      <c r="CE153" s="323"/>
      <c r="CF153" s="323"/>
      <c r="CG153" s="323"/>
      <c r="CH153" s="323"/>
      <c r="CI153" s="323"/>
      <c r="CJ153" s="323"/>
      <c r="CK153" s="323"/>
      <c r="CL153" s="323"/>
      <c r="CM153" s="323"/>
      <c r="CN153" s="323"/>
      <c r="CO153" s="323"/>
      <c r="CP153" s="442"/>
      <c r="CQ153" s="438"/>
      <c r="CR153" s="323"/>
      <c r="CS153" s="323"/>
      <c r="CT153" s="323"/>
      <c r="CU153" s="323"/>
      <c r="CV153" s="323"/>
      <c r="CW153" s="323"/>
      <c r="CX153" s="323"/>
      <c r="CY153" s="323"/>
      <c r="CZ153" s="323"/>
      <c r="EK153" s="1070"/>
      <c r="EL153" s="1070"/>
      <c r="EM153" s="1070"/>
      <c r="EN153" s="1070"/>
      <c r="EO153" s="1070"/>
      <c r="EP153" s="1070"/>
      <c r="EQ153" s="1070"/>
    </row>
    <row r="154" spans="2:222" ht="40.4" customHeight="1" outlineLevel="1" thickBot="1" x14ac:dyDescent="0.4">
      <c r="B154" s="205" t="str">
        <f>'LCA data'!$B$93</f>
        <v>Tagkonstruktion</v>
      </c>
      <c r="C154" s="466">
        <f t="shared" si="13"/>
        <v>0</v>
      </c>
      <c r="D154" s="169" t="s">
        <v>103</v>
      </c>
      <c r="E154" s="342" t="str">
        <f>IF($D$151=$D$82,D154,VLOOKUP(B154,Auto_Tag[],VLOOKUP($D$151,Type_Tung_Middel_Let[],2,0),0))</f>
        <v>Angiv ikke</v>
      </c>
      <c r="F154" s="172">
        <f>IF(E154="Betonhuldæk",(VLOOKUP(E154,Pris.tag.konstruktion[],4,0)/1000),F153)</f>
        <v>0.4</v>
      </c>
      <c r="G154" s="350"/>
      <c r="H154" s="351" t="str">
        <f>IFERROR(IF(VLOOKUP(B154&amp;"_"&amp;E154,'LCA data'!$B$7:$X$200,2,FALSE)&lt;$Y$24,1,0)+IF(VLOOKUP(B154&amp;"_"&amp;E154,'LCA data'!$B$7:$X$200,2,FALSE)*2&lt;$Y$24,1,0),"")</f>
        <v/>
      </c>
      <c r="I154" s="169" t="s">
        <v>103</v>
      </c>
      <c r="J154" s="342" t="str">
        <f>IF($I$151=$D$82,I154,VLOOKUP(B154,Auto_Tag[],VLOOKUP($I$151,Type_Tung_Middel_Let[],2,0),0))</f>
        <v>Angiv ikke</v>
      </c>
      <c r="K154" s="172">
        <f>IF(OR(J154="Betonhuldæk",J154="CLT"),(VLOOKUP(J154,Pris.tag.konstruktion[],4,0)/1000),K153)</f>
        <v>0.4</v>
      </c>
      <c r="L154" s="514"/>
      <c r="M154" s="515" t="str">
        <f>IFERROR(IF(VLOOKUP(B154&amp;"_"&amp;J154,'LCA data'!$B$7:$X$200,2,FALSE)&lt;$Y$24,1,0)+IF(VLOOKUP(B154&amp;"_"&amp;J154,'LCA data'!$B$7:$X$200,2,FALSE)*2&lt;$Y$24,1,0),"")</f>
        <v/>
      </c>
      <c r="N154" s="206">
        <f>W154/1000</f>
        <v>0</v>
      </c>
      <c r="O154" s="878"/>
      <c r="P154" s="207">
        <f>X154/1000</f>
        <v>0</v>
      </c>
      <c r="Q154" s="889"/>
      <c r="R154" s="192"/>
      <c r="S154" s="196"/>
      <c r="V154" s="251"/>
      <c r="W154" s="323">
        <f>IF(E154="Angiv ikke",0,((1+H154)*VLOOKUP(B154&amp;"_"&amp;E154,'LCA data'!$B$7:$X$360,19,FALSE)*(F154*10^3)*C154))</f>
        <v>0</v>
      </c>
      <c r="X154" s="323">
        <f>IF(J154="Angiv ikke",0,((1+M154)*VLOOKUP(B154&amp;"_"&amp;J154,'LCA data'!$B$7:$X$360,19,FALSE)*(K154*10^3)*C154))</f>
        <v>0</v>
      </c>
      <c r="Y154" s="323"/>
      <c r="Z154" s="323"/>
      <c r="AA154" s="323"/>
      <c r="AB154" s="323"/>
      <c r="AC154" s="323"/>
      <c r="AD154" s="323"/>
      <c r="AE154" s="323"/>
      <c r="AF154" s="323"/>
      <c r="AG154" s="323"/>
      <c r="AH154" s="323"/>
      <c r="AI154" s="323" t="str">
        <f>IFERROR(VLOOKUP(B154&amp;"_"&amp;J154,'LCA data'!$B$7:$X$200,19,FALSE)*(K154*10^3)*C154,"")</f>
        <v/>
      </c>
      <c r="AJ154" s="323" t="str">
        <f>IFERROR(VLOOKUP($B154&amp;"_"&amp;J154,'LCA data'!$B$7:$X$238,2,FALSE),"")</f>
        <v/>
      </c>
      <c r="AK154" s="323" t="str">
        <f>IFERROR(IF(M154&gt;0,VLOOKUP(B154&amp;"_"&amp;J154,'LCA data'!$B$7:$X$200,19,FALSE)*(K154*10^3)*C154,""),"")</f>
        <v/>
      </c>
      <c r="AL154" s="323" t="str">
        <f>IFERROR(AJ154+VLOOKUP(B154&amp;"_"&amp;J154,'LCA data'!$B$7:$X$238,2,FALSE),"")</f>
        <v/>
      </c>
      <c r="AM154" s="323" t="str">
        <f>IFERROR(IF(M154-1&gt;0,VLOOKUP(B154&amp;"_"&amp;J154,'LCA data'!$B$7:$X$200,19,FALSE)*(K154*10^3)*C154,""),"")</f>
        <v/>
      </c>
      <c r="AN154" s="323">
        <f>IF(E154="Angiv ikke",0,((1+H154)*VLOOKUP(B154&amp;"_"&amp;E154,'LCA data'!$B$7:$X$360,20,FALSE)*(F154*10^3)*C154))</f>
        <v>0</v>
      </c>
      <c r="AO154" s="323">
        <f>IF(J154="Angiv ikke",0,((1+M154)*VLOOKUP(B154&amp;"_"&amp;J154,'LCA data'!$B$7:$X$360,20,FALSE)*(K154*10^3)*C154))</f>
        <v>0</v>
      </c>
      <c r="AP154" s="323"/>
      <c r="AQ154" s="323"/>
      <c r="AR154" s="323">
        <f>IF(E154="Angiv ikke",0,((1+H154)*VLOOKUP(B154&amp;"_"&amp;E154,'LCA data'!$B$7:$AA$360,26,FALSE)*(F154*10^3)*C154))</f>
        <v>0</v>
      </c>
      <c r="AS154" s="323">
        <f>IF(J154="Angiv ikke",0,((1+M154)*VLOOKUP(B154&amp;"_"&amp;J154,'LCA data'!$B$7:$AA$360,26,FALSE)*(K154*10^3)*C154))</f>
        <v>0</v>
      </c>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c r="BO154" s="323"/>
      <c r="BP154" s="323"/>
      <c r="BQ154" s="323"/>
      <c r="BR154" s="323"/>
      <c r="BS154" s="323"/>
      <c r="BT154" s="323"/>
      <c r="BU154" s="323"/>
      <c r="BV154" s="323"/>
      <c r="BW154" s="323"/>
      <c r="BX154" s="323"/>
      <c r="BY154" s="323"/>
      <c r="BZ154" s="323"/>
      <c r="CA154" s="323"/>
      <c r="CB154" s="323"/>
      <c r="CC154" s="323"/>
      <c r="CD154" s="323"/>
      <c r="CE154" s="323"/>
      <c r="CF154" s="323"/>
      <c r="CG154" s="323"/>
      <c r="CH154" s="323"/>
      <c r="CI154" s="323"/>
      <c r="CJ154" s="323"/>
      <c r="CK154" s="323"/>
      <c r="CL154" s="323"/>
      <c r="CM154" s="323"/>
      <c r="CN154" s="323"/>
      <c r="CO154" s="323"/>
      <c r="CP154" s="439"/>
      <c r="CQ154" s="440"/>
      <c r="CR154" s="323"/>
      <c r="CS154" s="323"/>
      <c r="CT154" s="323"/>
      <c r="CU154" s="323"/>
      <c r="CV154" s="323"/>
      <c r="CW154" s="323"/>
      <c r="CX154" s="323"/>
      <c r="CY154" s="323"/>
      <c r="CZ154" s="323"/>
      <c r="EK154" s="1070"/>
      <c r="EL154" s="1070"/>
      <c r="EM154" s="1070"/>
      <c r="EN154" s="1070"/>
      <c r="EO154" s="1070"/>
      <c r="EP154" s="1070"/>
      <c r="EQ154" s="1070"/>
    </row>
    <row r="155" spans="2:222" ht="40.4" customHeight="1" outlineLevel="1" thickBot="1" x14ac:dyDescent="0.4">
      <c r="B155" s="209" t="str">
        <f>'LCA data'!$B$105</f>
        <v>Loftsbeklædning</v>
      </c>
      <c r="C155" s="467">
        <f t="shared" si="13"/>
        <v>0</v>
      </c>
      <c r="D155" s="171" t="s">
        <v>103</v>
      </c>
      <c r="E155" s="382" t="str">
        <f>IF($D$151=$D$82,D155,VLOOKUP(B155,Auto_Tag[],VLOOKUP($D$151,Type_Tung_Middel_Let[],2,0),0))</f>
        <v>Angiv ikke</v>
      </c>
      <c r="F155" s="474">
        <f>(VLOOKUP(E155,Pris.loft.beklædning[],4,0))/1000</f>
        <v>0</v>
      </c>
      <c r="G155" s="354"/>
      <c r="H155" s="355" t="str">
        <f>IFERROR(IF(VLOOKUP(B155&amp;"_"&amp;E155,'LCA data'!$B$7:$X$200,2,FALSE)&lt;$Y$24,1,0)+IF(VLOOKUP(B155&amp;"_"&amp;E155,'LCA data'!$B$7:$X$200,2,FALSE)*2&lt;$Y$24,1,0),"")</f>
        <v/>
      </c>
      <c r="I155" s="171" t="s">
        <v>103</v>
      </c>
      <c r="J155" s="382" t="str">
        <f>IF($I$151=$D$82,I155,VLOOKUP(B155,Auto_Tag[],VLOOKUP($I$151,Type_Tung_Middel_Let[],2,0),0))</f>
        <v>Angiv ikke</v>
      </c>
      <c r="K155" s="522">
        <f>(VLOOKUP(J155,Pris.loft.beklædning[],4,0))/1000</f>
        <v>0</v>
      </c>
      <c r="L155" s="519"/>
      <c r="M155" s="520" t="str">
        <f>IFERROR(IF(VLOOKUP(B155&amp;"_"&amp;J155,'LCA data'!$B$7:$X$200,2,FALSE)&lt;$Y$24,1,0)+IF(VLOOKUP(B155&amp;"_"&amp;J155,'LCA data'!$B$7:$X$200,2,FALSE)*2&lt;$Y$24,1,0),"")</f>
        <v/>
      </c>
      <c r="N155" s="210">
        <f>W155/1000</f>
        <v>0</v>
      </c>
      <c r="O155" s="879"/>
      <c r="P155" s="211">
        <f>X155/1000</f>
        <v>0</v>
      </c>
      <c r="Q155" s="890"/>
      <c r="R155" s="212"/>
      <c r="S155" s="213"/>
      <c r="V155" s="251"/>
      <c r="W155" s="323">
        <f>IF(E155="Angiv ikke",0,((1+H155)*VLOOKUP(B155&amp;"_"&amp;E155,'LCA data'!$B$7:$X$360,19,FALSE)*(F155*10^3)*C155))</f>
        <v>0</v>
      </c>
      <c r="X155" s="323">
        <f>IF(J155="Angiv ikke",0,((1+M155)*VLOOKUP(B155&amp;"_"&amp;J155,'LCA data'!$B$7:$X$360,19,FALSE)*(K155*10^3)*C155))</f>
        <v>0</v>
      </c>
      <c r="Y155" s="323"/>
      <c r="Z155" s="323"/>
      <c r="AA155" s="323"/>
      <c r="AB155" s="323"/>
      <c r="AC155" s="323"/>
      <c r="AD155" s="323"/>
      <c r="AE155" s="323"/>
      <c r="AF155" s="323"/>
      <c r="AG155" s="323"/>
      <c r="AH155" s="323"/>
      <c r="AI155" s="323" t="str">
        <f>IFERROR(VLOOKUP(B155&amp;"_"&amp;J155,'LCA data'!$B$7:$X$200,19,FALSE)*(K155*10^3)*C155,"")</f>
        <v/>
      </c>
      <c r="AJ155" s="323" t="str">
        <f>IFERROR(VLOOKUP($B155&amp;"_"&amp;J155,'LCA data'!$B$7:$X$238,2,FALSE),"")</f>
        <v/>
      </c>
      <c r="AK155" s="323" t="str">
        <f>IFERROR(IF(M155&gt;0,VLOOKUP(B155&amp;"_"&amp;J155,'LCA data'!$B$7:$X$200,19,FALSE)*(K155*10^3)*C155,""),"")</f>
        <v/>
      </c>
      <c r="AL155" s="323" t="str">
        <f>IFERROR(AJ155+VLOOKUP(B155&amp;"_"&amp;J155,'LCA data'!$B$7:$X$238,2,FALSE),"")</f>
        <v/>
      </c>
      <c r="AM155" s="323" t="str">
        <f>IFERROR(IF(M155-1&gt;0,VLOOKUP(B155&amp;"_"&amp;J155,'LCA data'!$B$7:$X$200,19,FALSE)*(K155*10^3)*C155,""),"")</f>
        <v/>
      </c>
      <c r="AN155" s="323">
        <f>IF(E155="Angiv ikke",0,((1+H155)*VLOOKUP(B155&amp;"_"&amp;E155,'LCA data'!$B$7:$X$360,20,FALSE)*(F155*10^3)*C155))</f>
        <v>0</v>
      </c>
      <c r="AO155" s="323">
        <f>IF(J155="Angiv ikke",0,((1+M155)*VLOOKUP(B155&amp;"_"&amp;J155,'LCA data'!$B$7:$X$360,20,FALSE)*(K155*10^3)*C155))</f>
        <v>0</v>
      </c>
      <c r="AP155" s="323"/>
      <c r="AQ155" s="323"/>
      <c r="AR155" s="323">
        <f>IF(E155="Angiv ikke",0,((1+H155)*VLOOKUP(B155&amp;"_"&amp;E155,'LCA data'!$B$7:$AA$360,26,FALSE)*(F155*10^3)*C155))</f>
        <v>0</v>
      </c>
      <c r="AS155" s="323">
        <f>IF(J155="Angiv ikke",0,((1+M155)*VLOOKUP(B155&amp;"_"&amp;J155,'LCA data'!$B$7:$AA$360,26,FALSE)*(K155*10^3)*C155))</f>
        <v>0</v>
      </c>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1144" t="s">
        <v>77</v>
      </c>
      <c r="CQ155" s="1145"/>
      <c r="CR155" s="323"/>
      <c r="CS155" s="323"/>
      <c r="CT155" s="323"/>
      <c r="CU155" s="323"/>
      <c r="CV155" s="323"/>
      <c r="CW155" s="323"/>
      <c r="CX155" s="323"/>
      <c r="CY155" s="323"/>
      <c r="CZ155" s="323"/>
      <c r="EK155" s="1070"/>
      <c r="EL155" s="1070"/>
      <c r="EM155" s="1070"/>
      <c r="EN155" s="1070"/>
      <c r="EO155" s="1070"/>
      <c r="EP155" s="1070"/>
      <c r="EQ155" s="1070"/>
    </row>
    <row r="156" spans="2:222" ht="28" customHeight="1" outlineLevel="1" x14ac:dyDescent="0.35">
      <c r="B156" s="173" t="s">
        <v>116</v>
      </c>
      <c r="C156" s="366"/>
      <c r="E156" s="367"/>
      <c r="F156" s="368"/>
      <c r="G156" s="228"/>
      <c r="H156" s="228"/>
      <c r="J156" s="367"/>
      <c r="K156" s="368"/>
      <c r="L156" s="228"/>
      <c r="M156" s="369"/>
      <c r="N156" s="370"/>
      <c r="O156" s="370"/>
      <c r="P156" s="371"/>
      <c r="Q156" s="370"/>
      <c r="R156" s="217"/>
      <c r="V156" s="251"/>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c r="BO156" s="323"/>
      <c r="BP156" s="323"/>
      <c r="BQ156" s="323"/>
      <c r="BR156" s="323"/>
      <c r="BS156" s="323"/>
      <c r="BT156" s="323"/>
      <c r="BU156" s="323"/>
      <c r="BV156" s="323"/>
      <c r="BW156" s="323"/>
      <c r="BX156" s="323"/>
      <c r="BY156" s="323"/>
      <c r="BZ156" s="323"/>
      <c r="CA156" s="323"/>
      <c r="CB156" s="323"/>
      <c r="CC156" s="323"/>
      <c r="CD156" s="323"/>
      <c r="CE156" s="323"/>
      <c r="CF156" s="323"/>
      <c r="CG156" s="323"/>
      <c r="CH156" s="323"/>
      <c r="CI156" s="323"/>
      <c r="CJ156" s="323"/>
      <c r="CK156" s="323"/>
      <c r="CL156" s="323"/>
      <c r="CM156" s="323"/>
      <c r="CN156" s="323"/>
      <c r="CO156" s="323"/>
      <c r="CP156" s="431"/>
      <c r="CQ156" s="432"/>
      <c r="CR156" s="323"/>
      <c r="CS156" s="323"/>
      <c r="CT156" s="323"/>
      <c r="CU156" s="323"/>
      <c r="CV156" s="323"/>
      <c r="CW156" s="323"/>
      <c r="CX156" s="323"/>
      <c r="CY156" s="323"/>
      <c r="CZ156" s="323"/>
      <c r="EK156" s="1070"/>
      <c r="EL156" s="1070"/>
      <c r="EM156" s="1070"/>
      <c r="EN156" s="1070"/>
      <c r="EO156" s="1070"/>
      <c r="EP156" s="1070"/>
      <c r="EQ156" s="1070"/>
    </row>
    <row r="157" spans="2:222" ht="18.649999999999999" customHeight="1" x14ac:dyDescent="0.45">
      <c r="B157" s="550"/>
      <c r="C157" s="551"/>
      <c r="D157" s="542"/>
      <c r="E157" s="552"/>
      <c r="F157" s="552"/>
      <c r="G157" s="552"/>
      <c r="H157" s="552"/>
      <c r="I157" s="542"/>
      <c r="J157" s="552"/>
      <c r="K157" s="552"/>
      <c r="L157" s="552"/>
      <c r="M157" s="552"/>
      <c r="N157" s="223"/>
      <c r="O157" s="223"/>
      <c r="P157" s="223"/>
      <c r="Q157" s="220"/>
      <c r="R157" s="217"/>
      <c r="S157" s="240"/>
      <c r="T157" s="175"/>
      <c r="V157" s="251"/>
      <c r="W157" s="323"/>
      <c r="X157" s="323"/>
      <c r="Y157" s="323"/>
      <c r="Z157" s="323"/>
      <c r="AA157" s="323"/>
      <c r="AB157" s="323"/>
      <c r="AC157" s="323"/>
      <c r="AD157" s="323"/>
      <c r="AE157" s="323"/>
      <c r="AF157" s="323"/>
      <c r="AG157" s="323"/>
      <c r="AH157" s="323"/>
      <c r="AI157" s="323" t="str">
        <f>IFERROR(VLOOKUP(B157&amp;"_"&amp;J157,'LCA data'!$B$7:$X$200,19,FALSE)*(K157*10^3)*C157,"")</f>
        <v/>
      </c>
      <c r="AJ157" s="323" t="str">
        <f>IFERROR(VLOOKUP($B157&amp;"_"&amp;J157,'LCA data'!$B$7:$X$238,2,FALSE),"")</f>
        <v/>
      </c>
      <c r="AK157" s="323" t="str">
        <f>IFERROR(IF(M157&gt;0,VLOOKUP(B157&amp;"_"&amp;J157,'LCA data'!$B$7:$X$200,19,FALSE)*(K157*10^3)*C157,""),"")</f>
        <v/>
      </c>
      <c r="AL157" s="323" t="str">
        <f>IFERROR(AJ157+VLOOKUP(B157&amp;"_"&amp;J157,'LCA data'!$B$7:$X$238,2,FALSE),"")</f>
        <v/>
      </c>
      <c r="AM157" s="323" t="str">
        <f>IFERROR(IF(M157-1&gt;0,VLOOKUP(B157&amp;"_"&amp;J157,'LCA data'!$B$7:$X$200,19,FALSE)*(K157*10^3)*C157,""),"")</f>
        <v/>
      </c>
      <c r="AN157" s="323" t="str">
        <f>IFERROR(AL157+VLOOKUP(B157&amp;"_"&amp;J157,'LCA data'!$B$7:$X$238,2,FALSE),"")</f>
        <v/>
      </c>
      <c r="AO157" s="323" t="str">
        <f>IFERROR(IF(M157-2&gt;0,VLOOKUP(B157&amp;"_"&amp;J157,'LCA data'!$B$7:$X$200,19,FALSE)*(K157*10^3)*C157,""),"")</f>
        <v/>
      </c>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c r="BO157" s="323"/>
      <c r="BP157" s="323"/>
      <c r="BQ157" s="323"/>
      <c r="BR157" s="323"/>
      <c r="BS157" s="323"/>
      <c r="BT157" s="323"/>
      <c r="BU157" s="323"/>
      <c r="BV157" s="323"/>
      <c r="BW157" s="323"/>
      <c r="BX157" s="323"/>
      <c r="BY157" s="323"/>
      <c r="BZ157" s="323"/>
      <c r="CA157" s="323"/>
      <c r="CB157" s="323"/>
      <c r="CC157" s="323"/>
      <c r="CD157" s="323"/>
      <c r="CE157" s="323"/>
      <c r="CF157" s="323"/>
      <c r="CG157" s="323"/>
      <c r="CH157" s="323"/>
      <c r="CI157" s="323"/>
      <c r="CJ157" s="323"/>
      <c r="CK157" s="323"/>
      <c r="CL157" s="323"/>
      <c r="CM157" s="323"/>
      <c r="CN157" s="323"/>
      <c r="CO157" s="323"/>
      <c r="CP157" s="431"/>
      <c r="CQ157" s="433"/>
      <c r="CR157" s="323"/>
      <c r="CS157" s="323"/>
      <c r="CT157" s="323"/>
      <c r="CU157" s="323"/>
      <c r="CV157" s="323"/>
      <c r="CW157" s="323"/>
      <c r="CX157" s="323"/>
      <c r="CY157" s="323"/>
      <c r="CZ157" s="323"/>
      <c r="EK157" s="1070"/>
      <c r="EL157" s="1070"/>
      <c r="EM157" s="1070"/>
      <c r="EN157" s="1070"/>
      <c r="EO157" s="1070"/>
      <c r="EP157" s="1070"/>
      <c r="EQ157" s="1070"/>
    </row>
    <row r="158" spans="2:222" ht="35.25" hidden="1" customHeight="1" outlineLevel="1" x14ac:dyDescent="0.35">
      <c r="B158" s="493" t="s">
        <v>112</v>
      </c>
      <c r="C158" s="499"/>
      <c r="D158" s="499"/>
      <c r="E158" s="506" t="s">
        <v>114</v>
      </c>
      <c r="F158" s="499"/>
      <c r="G158" s="499"/>
      <c r="H158" s="499"/>
      <c r="I158" s="500" t="str">
        <f>"Tagkonstruktion"&amp;" "&amp;3</f>
        <v>Tagkonstruktion 3</v>
      </c>
      <c r="J158" s="500"/>
      <c r="K158" s="499"/>
      <c r="L158" s="499"/>
      <c r="M158" s="499"/>
      <c r="N158" s="499"/>
      <c r="O158" s="499"/>
      <c r="P158" s="499"/>
      <c r="Q158" s="501"/>
      <c r="R158" s="190"/>
      <c r="S158" s="191"/>
      <c r="V158" s="251"/>
      <c r="W158" s="323">
        <f>IF(D161=$D$82,1,0)</f>
        <v>1</v>
      </c>
      <c r="X158" s="323">
        <f>IF(I161=$D$82,1,0)</f>
        <v>1</v>
      </c>
      <c r="Y158" s="323"/>
      <c r="Z158" s="323"/>
      <c r="AA158" s="323"/>
      <c r="AB158" s="323"/>
      <c r="AC158" s="323"/>
      <c r="AD158" s="323"/>
      <c r="AE158" s="323"/>
      <c r="AF158" s="323"/>
      <c r="AG158" s="323"/>
      <c r="AH158" s="323"/>
      <c r="AI158" s="323"/>
      <c r="AJ158" s="323" t="s">
        <v>746</v>
      </c>
      <c r="AK158" s="323" t="s">
        <v>747</v>
      </c>
      <c r="AL158" s="323" t="str">
        <f>IFERROR(AJ158+VLOOKUP(E158&amp;"_"&amp;J158,'LCA data'!$B$7:$X$238,2,FALSE),"")</f>
        <v/>
      </c>
      <c r="AM158" s="323" t="str">
        <f>IFERROR(IF(M158-1&gt;0,VLOOKUP(E158&amp;"_"&amp;J158,'LCA data'!$B$7:$X$200,19,FALSE)*(K158*10^3)*C158,""),"")</f>
        <v/>
      </c>
      <c r="AN158" s="323" t="s">
        <v>846</v>
      </c>
      <c r="AO158" s="323"/>
      <c r="AP158" s="323"/>
      <c r="AQ158" s="323"/>
      <c r="AR158" s="323" t="s">
        <v>851</v>
      </c>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c r="BO158" s="323"/>
      <c r="BP158" s="323"/>
      <c r="BQ158" s="323"/>
      <c r="BR158" s="323"/>
      <c r="BS158" s="323"/>
      <c r="BT158" s="323"/>
      <c r="BU158" s="323"/>
      <c r="BV158" s="323"/>
      <c r="BW158" s="323"/>
      <c r="BX158" s="323"/>
      <c r="BY158" s="323"/>
      <c r="BZ158" s="323"/>
      <c r="CA158" s="323"/>
      <c r="CB158" s="323"/>
      <c r="CC158" s="323"/>
      <c r="CD158" s="323"/>
      <c r="CE158" s="323"/>
      <c r="CF158" s="323"/>
      <c r="CG158" s="323"/>
      <c r="CH158" s="323"/>
      <c r="CI158" s="323"/>
      <c r="CJ158" s="323"/>
      <c r="CK158" s="323"/>
      <c r="CL158" s="323"/>
      <c r="CM158" s="323"/>
      <c r="CN158" s="323"/>
      <c r="CO158" s="323"/>
      <c r="CP158" s="431"/>
      <c r="CQ158" s="434"/>
      <c r="CR158" s="323"/>
      <c r="CS158" s="323"/>
      <c r="CT158" s="323"/>
      <c r="CU158" s="323"/>
      <c r="CV158" s="323"/>
      <c r="CW158" s="323"/>
      <c r="CX158" s="323"/>
      <c r="CY158" s="323"/>
      <c r="CZ158" s="323"/>
      <c r="EK158" s="1070"/>
      <c r="EL158" s="1070"/>
      <c r="EM158" s="1070"/>
      <c r="EN158" s="1070"/>
      <c r="EO158" s="1070"/>
      <c r="EP158" s="1070"/>
      <c r="EQ158" s="1070"/>
    </row>
    <row r="159" spans="2:222" ht="40.4" hidden="1" customHeight="1" outlineLevel="1" x14ac:dyDescent="0.35">
      <c r="B159" s="359" t="s">
        <v>78</v>
      </c>
      <c r="C159" s="195" t="s">
        <v>80</v>
      </c>
      <c r="D159" s="910" t="s">
        <v>4</v>
      </c>
      <c r="E159" s="911"/>
      <c r="F159" s="911"/>
      <c r="G159" s="911"/>
      <c r="H159" s="912"/>
      <c r="I159" s="885" t="s">
        <v>5</v>
      </c>
      <c r="J159" s="886"/>
      <c r="K159" s="886"/>
      <c r="L159" s="886"/>
      <c r="M159" s="887"/>
      <c r="N159" s="877" t="s">
        <v>79</v>
      </c>
      <c r="O159" s="877"/>
      <c r="P159" s="877"/>
      <c r="Q159" s="881"/>
      <c r="R159" s="192"/>
      <c r="S159" s="193"/>
      <c r="T159" s="175"/>
      <c r="V159" s="251"/>
      <c r="W159" s="323"/>
      <c r="X159" s="323"/>
      <c r="Y159" s="323"/>
      <c r="Z159" s="323"/>
      <c r="AA159" s="323"/>
      <c r="AB159" s="323"/>
      <c r="AC159" s="323"/>
      <c r="AD159" s="323"/>
      <c r="AE159" s="323"/>
      <c r="AF159" s="323"/>
      <c r="AG159" s="323"/>
      <c r="AH159" s="323"/>
      <c r="AI159" s="323" t="str">
        <f>'LCA data'!$B$77</f>
        <v>Tagbelægning</v>
      </c>
      <c r="AJ159" s="323">
        <f>VLOOKUP(E162,Pris.tag.beklædning[],2,0)*C162</f>
        <v>0</v>
      </c>
      <c r="AK159" s="323">
        <f>VLOOKUP(J162,Pris.tag.beklædning[],2,0)*C162</f>
        <v>0</v>
      </c>
      <c r="AL159" s="323" t="str">
        <f>IFERROR(AJ159+VLOOKUP(B159&amp;"_"&amp;I159,'LCA data'!$B$7:$X$238,2,FALSE),"")</f>
        <v/>
      </c>
      <c r="AM159" s="323" t="str">
        <f>IFERROR(IF(M159-1&gt;0,VLOOKUP(B159&amp;"_"&amp;I159,'LCA data'!$B$7:$X$200,19,FALSE)*(K159*10^3)*C159,""),"")</f>
        <v/>
      </c>
      <c r="AN159" s="323" t="s">
        <v>4</v>
      </c>
      <c r="AO159" s="323" t="s">
        <v>5</v>
      </c>
      <c r="AP159" s="323"/>
      <c r="AQ159" s="323"/>
      <c r="AR159" s="323" t="s">
        <v>4</v>
      </c>
      <c r="AS159" s="323" t="s">
        <v>5</v>
      </c>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c r="BO159" s="323"/>
      <c r="BP159" s="323"/>
      <c r="BQ159" s="323"/>
      <c r="BR159" s="323"/>
      <c r="BS159" s="323"/>
      <c r="BT159" s="323"/>
      <c r="BU159" s="323"/>
      <c r="BV159" s="323"/>
      <c r="BW159" s="323"/>
      <c r="BX159" s="323"/>
      <c r="BY159" s="323"/>
      <c r="BZ159" s="323"/>
      <c r="CA159" s="323"/>
      <c r="CB159" s="323"/>
      <c r="CC159" s="323"/>
      <c r="CD159" s="323"/>
      <c r="CE159" s="323"/>
      <c r="CF159" s="323"/>
      <c r="CG159" s="323"/>
      <c r="CH159" s="323"/>
      <c r="CI159" s="323"/>
      <c r="CJ159" s="323"/>
      <c r="CK159" s="323"/>
      <c r="CL159" s="323"/>
      <c r="CM159" s="323"/>
      <c r="CN159" s="323"/>
      <c r="CO159" s="323"/>
      <c r="CP159" s="431"/>
      <c r="CQ159" s="433"/>
      <c r="CR159" s="323"/>
      <c r="CS159" s="323"/>
      <c r="CT159" s="323"/>
      <c r="CU159" s="323"/>
      <c r="CV159" s="323"/>
      <c r="CW159" s="323"/>
      <c r="CX159" s="323"/>
      <c r="CY159" s="323"/>
      <c r="CZ159" s="323"/>
      <c r="EK159" s="1070"/>
      <c r="EL159" s="1070"/>
      <c r="EM159" s="1070"/>
      <c r="EN159" s="1070"/>
      <c r="EO159" s="1070"/>
      <c r="EP159" s="1070"/>
      <c r="EQ159" s="1070"/>
    </row>
    <row r="160" spans="2:222" ht="44.9" hidden="1" customHeight="1" outlineLevel="1" x14ac:dyDescent="0.35">
      <c r="B160" s="194"/>
      <c r="C160" s="665">
        <v>0</v>
      </c>
      <c r="D160" s="908" t="s">
        <v>797</v>
      </c>
      <c r="E160" s="909"/>
      <c r="F160" s="338" t="s">
        <v>82</v>
      </c>
      <c r="G160" s="338" t="s">
        <v>83</v>
      </c>
      <c r="H160" s="346" t="s">
        <v>84</v>
      </c>
      <c r="I160" s="913" t="s">
        <v>797</v>
      </c>
      <c r="J160" s="914"/>
      <c r="K160" s="479" t="s">
        <v>82</v>
      </c>
      <c r="L160" s="479" t="s">
        <v>83</v>
      </c>
      <c r="M160" s="508" t="s">
        <v>84</v>
      </c>
      <c r="N160" s="195" t="s">
        <v>4</v>
      </c>
      <c r="O160" s="195" t="s">
        <v>85</v>
      </c>
      <c r="P160" s="195" t="s">
        <v>5</v>
      </c>
      <c r="Q160" s="357" t="s">
        <v>86</v>
      </c>
      <c r="R160" s="192"/>
      <c r="S160" s="196"/>
      <c r="V160" s="251"/>
      <c r="W160" s="323" t="s">
        <v>87</v>
      </c>
      <c r="X160" s="323" t="s">
        <v>88</v>
      </c>
      <c r="Y160" s="323" t="s">
        <v>89</v>
      </c>
      <c r="Z160" s="323" t="s">
        <v>90</v>
      </c>
      <c r="AA160" s="323" t="s">
        <v>91</v>
      </c>
      <c r="AB160" s="323"/>
      <c r="AC160" s="323"/>
      <c r="AD160" s="323"/>
      <c r="AE160" s="323" t="s">
        <v>92</v>
      </c>
      <c r="AF160" s="323"/>
      <c r="AG160" s="323"/>
      <c r="AH160" s="323"/>
      <c r="AI160" s="323" t="s">
        <v>209</v>
      </c>
      <c r="AJ160" s="323">
        <f>VLOOKUP(E163,Pris.isolering.tag[],2,0)*F163*C163</f>
        <v>0</v>
      </c>
      <c r="AK160" s="323">
        <f>VLOOKUP(J163,Pris.isolering.tag[],2,0)*K163*C163</f>
        <v>0</v>
      </c>
      <c r="AL160" s="323" t="str">
        <f>IFERROR(AJ160+VLOOKUP(B160&amp;"_"&amp;J160,'LCA data'!$B$7:$X$238,2,FALSE),"")</f>
        <v/>
      </c>
      <c r="AM160" s="323" t="str">
        <f>IFERROR(IF(M160-1&gt;0,VLOOKUP(B160&amp;"_"&amp;J160,'LCA data'!$B$7:$X$200,19,FALSE)*(K160*10^3)*C160,""),"")</f>
        <v/>
      </c>
      <c r="AN160" s="323">
        <f>SUM(AN162:AN166)</f>
        <v>0</v>
      </c>
      <c r="AO160" s="323">
        <f>SUM(AO162:AO166)</f>
        <v>0</v>
      </c>
      <c r="AP160" s="323"/>
      <c r="AQ160" s="323"/>
      <c r="AR160" s="323">
        <f>SUM(AR162:AR165)</f>
        <v>0</v>
      </c>
      <c r="AS160" s="323">
        <f>SUM(AS162:AS165)</f>
        <v>0</v>
      </c>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c r="BN160" s="323"/>
      <c r="BO160" s="323"/>
      <c r="BP160" s="323"/>
      <c r="BQ160" s="323"/>
      <c r="BR160" s="323"/>
      <c r="BS160" s="323"/>
      <c r="BT160" s="323"/>
      <c r="BU160" s="323"/>
      <c r="BV160" s="323"/>
      <c r="BW160" s="323"/>
      <c r="BX160" s="323"/>
      <c r="BY160" s="323"/>
      <c r="BZ160" s="323"/>
      <c r="CA160" s="323"/>
      <c r="CB160" s="323"/>
      <c r="CC160" s="323"/>
      <c r="CD160" s="323"/>
      <c r="CE160" s="323"/>
      <c r="CF160" s="323"/>
      <c r="CG160" s="323"/>
      <c r="CH160" s="323"/>
      <c r="CI160" s="323"/>
      <c r="CJ160" s="323"/>
      <c r="CK160" s="323"/>
      <c r="CL160" s="323"/>
      <c r="CM160" s="323"/>
      <c r="CN160" s="323"/>
      <c r="CO160" s="323"/>
      <c r="CP160" s="431"/>
      <c r="CQ160" s="433"/>
      <c r="CR160" s="323"/>
      <c r="CS160" s="323"/>
      <c r="CT160" s="323"/>
      <c r="CU160" s="323"/>
      <c r="CV160" s="323"/>
      <c r="CW160" s="323"/>
      <c r="CX160" s="323"/>
      <c r="CY160" s="323"/>
      <c r="CZ160" s="323"/>
      <c r="EK160" s="1070"/>
      <c r="EL160" s="1070"/>
      <c r="EM160" s="1070"/>
      <c r="EN160" s="1070"/>
      <c r="EO160" s="1070"/>
      <c r="EP160" s="1070"/>
      <c r="EQ160" s="1070"/>
    </row>
    <row r="161" spans="2:222" s="198" customFormat="1" ht="26" hidden="1" customHeight="1" outlineLevel="1" x14ac:dyDescent="0.35">
      <c r="B161" s="199"/>
      <c r="C161" s="200" t="s">
        <v>93</v>
      </c>
      <c r="D161" s="915" t="s">
        <v>811</v>
      </c>
      <c r="E161" s="915"/>
      <c r="F161" s="347" t="s">
        <v>94</v>
      </c>
      <c r="G161" s="348" t="s">
        <v>95</v>
      </c>
      <c r="H161" s="349" t="s">
        <v>96</v>
      </c>
      <c r="I161" s="915" t="s">
        <v>811</v>
      </c>
      <c r="J161" s="915"/>
      <c r="K161" s="510" t="s">
        <v>94</v>
      </c>
      <c r="L161" s="511" t="s">
        <v>95</v>
      </c>
      <c r="M161" s="512" t="s">
        <v>96</v>
      </c>
      <c r="N161" s="201" t="s">
        <v>97</v>
      </c>
      <c r="O161" s="201" t="s">
        <v>97</v>
      </c>
      <c r="P161" s="201" t="s">
        <v>97</v>
      </c>
      <c r="Q161" s="358" t="s">
        <v>97</v>
      </c>
      <c r="R161" s="202"/>
      <c r="S161" s="203"/>
      <c r="T161" s="204"/>
      <c r="U161" s="204"/>
      <c r="V161" s="325"/>
      <c r="W161" s="323">
        <f>SUM(W162:W165)</f>
        <v>0</v>
      </c>
      <c r="X161" s="323">
        <f>SUM(X162:X165)</f>
        <v>0</v>
      </c>
      <c r="Y161" s="323"/>
      <c r="Z161" s="323"/>
      <c r="AA161" s="323"/>
      <c r="AB161" s="323" t="s">
        <v>111</v>
      </c>
      <c r="AC161" s="323" t="s">
        <v>98</v>
      </c>
      <c r="AD161" s="323" t="s">
        <v>99</v>
      </c>
      <c r="AE161" s="323" t="s">
        <v>100</v>
      </c>
      <c r="AF161" s="323"/>
      <c r="AG161" s="323"/>
      <c r="AH161" s="323"/>
      <c r="AI161" s="323" t="str">
        <f>'LCA data'!$B$93</f>
        <v>Tagkonstruktion</v>
      </c>
      <c r="AJ161" s="323">
        <f>VLOOKUP(E164,Pris.tag.konstruktion[],2,0)*C164</f>
        <v>0</v>
      </c>
      <c r="AK161" s="323">
        <f>VLOOKUP(J164,Pris.tag.konstruktion[],2,0)*C164</f>
        <v>0</v>
      </c>
      <c r="AL161" s="323" t="str">
        <f>IFERROR(AJ161+VLOOKUP(B161&amp;"_"&amp;J161,'LCA data'!$B$7:$X$238,2,FALSE),"")</f>
        <v/>
      </c>
      <c r="AM161" s="323" t="str">
        <f>IFERROR(IF(M161-1&gt;0,VLOOKUP(B161&amp;"_"&amp;J161,'LCA data'!$B$7:$X$200,19,FALSE)*(K161*10^3)*C161,""),"")</f>
        <v/>
      </c>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3"/>
      <c r="BR161" s="323"/>
      <c r="BS161" s="323"/>
      <c r="BT161" s="323"/>
      <c r="BU161" s="323"/>
      <c r="BV161" s="323"/>
      <c r="BW161" s="323"/>
      <c r="BX161" s="323"/>
      <c r="BY161" s="323"/>
      <c r="BZ161" s="323"/>
      <c r="CA161" s="323"/>
      <c r="CB161" s="323"/>
      <c r="CC161" s="323"/>
      <c r="CD161" s="323"/>
      <c r="CE161" s="323"/>
      <c r="CF161" s="323"/>
      <c r="CG161" s="323"/>
      <c r="CH161" s="323"/>
      <c r="CI161" s="323"/>
      <c r="CJ161" s="323"/>
      <c r="CK161" s="323"/>
      <c r="CL161" s="323"/>
      <c r="CM161" s="323"/>
      <c r="CN161" s="323"/>
      <c r="CO161" s="323"/>
      <c r="CP161" s="435"/>
      <c r="CQ161" s="433"/>
      <c r="CR161" s="323"/>
      <c r="CS161" s="323"/>
      <c r="CT161" s="323"/>
      <c r="CU161" s="323"/>
      <c r="CV161" s="323"/>
      <c r="CW161" s="323"/>
      <c r="CX161" s="323"/>
      <c r="CY161" s="323"/>
      <c r="CZ161" s="323"/>
      <c r="DA161" s="325"/>
      <c r="DB161" s="325"/>
      <c r="DC161" s="325"/>
      <c r="DD161" s="325"/>
      <c r="DE161" s="325"/>
      <c r="DF161" s="325"/>
      <c r="DG161" s="325"/>
      <c r="DH161" s="325"/>
      <c r="DI161" s="325"/>
      <c r="DJ161" s="325"/>
      <c r="DK161" s="325"/>
      <c r="DL161" s="325"/>
      <c r="DM161" s="325"/>
      <c r="DN161" s="325"/>
      <c r="DO161" s="325"/>
      <c r="DP161" s="325"/>
      <c r="DQ161" s="325"/>
      <c r="DR161" s="325"/>
      <c r="DS161" s="325"/>
      <c r="DT161" s="325"/>
      <c r="DU161" s="325"/>
      <c r="DV161" s="325"/>
      <c r="DW161" s="325"/>
      <c r="DX161" s="325"/>
      <c r="DY161" s="325"/>
      <c r="DZ161" s="325"/>
      <c r="EA161" s="325"/>
      <c r="EB161" s="325"/>
      <c r="EC161" s="325"/>
      <c r="ED161" s="325"/>
      <c r="EE161" s="325"/>
      <c r="EF161" s="325"/>
      <c r="EG161" s="325"/>
      <c r="EH161" s="325"/>
      <c r="EI161" s="325"/>
      <c r="EJ161" s="325"/>
      <c r="EK161" s="1072"/>
      <c r="EL161" s="1072"/>
      <c r="EM161" s="1072"/>
      <c r="EN161" s="1072"/>
      <c r="EO161" s="1072"/>
      <c r="EP161" s="1072"/>
      <c r="EQ161" s="1072"/>
      <c r="ER161" s="325"/>
      <c r="ES161" s="325"/>
      <c r="ET161" s="325"/>
      <c r="EU161" s="325"/>
      <c r="EV161" s="325"/>
      <c r="EW161" s="325"/>
      <c r="EX161" s="325"/>
      <c r="EY161" s="325"/>
      <c r="EZ161" s="325"/>
      <c r="FA161" s="325"/>
      <c r="FB161" s="325"/>
      <c r="FC161" s="325"/>
      <c r="FD161" s="325"/>
      <c r="FE161" s="325"/>
      <c r="FF161" s="325"/>
      <c r="FG161" s="325"/>
      <c r="FH161" s="325"/>
      <c r="FI161" s="325"/>
      <c r="FJ161" s="325"/>
      <c r="FK161" s="325"/>
      <c r="FL161" s="325"/>
      <c r="FM161" s="325"/>
      <c r="FN161" s="325"/>
      <c r="FO161" s="325"/>
      <c r="FP161" s="325"/>
      <c r="FQ161" s="325"/>
      <c r="FR161" s="325"/>
      <c r="FS161" s="325"/>
      <c r="FT161" s="325"/>
      <c r="FU161" s="325"/>
      <c r="FV161" s="325"/>
      <c r="FW161" s="325"/>
      <c r="FX161" s="325"/>
      <c r="FY161" s="325"/>
      <c r="FZ161" s="325"/>
      <c r="GA161" s="325"/>
      <c r="GB161" s="325"/>
      <c r="GC161" s="325"/>
      <c r="GD161" s="325"/>
      <c r="GE161" s="325"/>
      <c r="GF161" s="325"/>
      <c r="GG161" s="325"/>
      <c r="GH161" s="325"/>
      <c r="GI161" s="325"/>
      <c r="GJ161" s="325"/>
      <c r="GK161" s="325"/>
      <c r="GL161" s="325"/>
      <c r="GM161" s="325"/>
      <c r="GN161" s="325"/>
      <c r="GO161" s="325"/>
      <c r="GP161" s="325"/>
      <c r="GQ161" s="325"/>
      <c r="GR161" s="325"/>
      <c r="GS161" s="325"/>
      <c r="GT161" s="325"/>
      <c r="GU161" s="325"/>
      <c r="GV161" s="325"/>
      <c r="GW161" s="325"/>
      <c r="GX161" s="325"/>
      <c r="GY161" s="325"/>
      <c r="GZ161" s="325"/>
      <c r="HA161" s="325"/>
      <c r="HB161" s="325"/>
      <c r="HC161" s="325"/>
      <c r="HD161" s="325"/>
      <c r="HE161" s="325"/>
      <c r="HF161" s="325"/>
      <c r="HG161" s="325"/>
      <c r="HH161" s="325"/>
      <c r="HI161" s="325"/>
      <c r="HJ161" s="325"/>
      <c r="HK161" s="325"/>
      <c r="HL161" s="325"/>
      <c r="HM161" s="325"/>
      <c r="HN161" s="325"/>
    </row>
    <row r="162" spans="2:222" ht="40.4" hidden="1" customHeight="1" outlineLevel="1" thickBot="1" x14ac:dyDescent="0.4">
      <c r="B162" s="363" t="str">
        <f>'LCA data'!$B$77</f>
        <v>Tagbelægning</v>
      </c>
      <c r="C162" s="466">
        <f>$C$160*$C$44</f>
        <v>0</v>
      </c>
      <c r="D162" s="15" t="s">
        <v>103</v>
      </c>
      <c r="E162" s="342" t="str">
        <f>IF($D$161=$D$82,D162,VLOOKUP(B162,Auto_Tag[],VLOOKUP($D$161,Type_Tung_Middel_Let[],2,0),0))</f>
        <v>Angiv ikke</v>
      </c>
      <c r="F162" s="356">
        <f>(VLOOKUP(E162,Pris.tag.beklædning[],4,0))/1000</f>
        <v>0</v>
      </c>
      <c r="G162" s="350"/>
      <c r="H162" s="351" t="str">
        <f>IFERROR(IF(VLOOKUP(B162&amp;"_"&amp;E162,'LCA data'!$B$7:$X$200,2,FALSE)&lt;$Y$24,1,0)+IF(VLOOKUP(B162&amp;"_"&amp;E162,'LCA data'!$B$7:$X$200,2,FALSE)*2&lt;$Y$24,1,0),"")</f>
        <v/>
      </c>
      <c r="I162" s="15" t="s">
        <v>103</v>
      </c>
      <c r="J162" s="342" t="str">
        <f>IF($I$161=$D$82,I162,VLOOKUP(B162,Auto_Tag[],VLOOKUP($I$161,Type_Tung_Middel_Let[],2,0),0))</f>
        <v>Angiv ikke</v>
      </c>
      <c r="K162" s="513">
        <f>(VLOOKUP(J162,Pris.tag.beklædning[],4,0))/1000</f>
        <v>0</v>
      </c>
      <c r="L162" s="514"/>
      <c r="M162" s="515" t="str">
        <f>IFERROR(IF(VLOOKUP(B162&amp;"_"&amp;J162,'LCA data'!$B$7:$X$200,2,FALSE)&lt;$Y$24,1,0)+IF(VLOOKUP(B162&amp;"_"&amp;J162,'LCA data'!$B$7:$X$200,2,FALSE)*2&lt;$Y$24,1,0),"")</f>
        <v/>
      </c>
      <c r="N162" s="364">
        <f>W162/1000</f>
        <v>0</v>
      </c>
      <c r="O162" s="880">
        <f>SUM(N162:N165)</f>
        <v>0</v>
      </c>
      <c r="P162" s="365">
        <f>X162/1000</f>
        <v>0</v>
      </c>
      <c r="Q162" s="888">
        <f>SUM(P162:P165)</f>
        <v>0</v>
      </c>
      <c r="R162" s="192"/>
      <c r="S162" s="196"/>
      <c r="V162" s="251"/>
      <c r="W162" s="323">
        <f>IF(E162="Angiv ikke",0,((1+H162)*VLOOKUP(B162&amp;"_"&amp;E162,'LCA data'!$B$7:$X$360,19,FALSE)*(F162*10^3)*C162))</f>
        <v>0</v>
      </c>
      <c r="X162" s="323">
        <f>IF(J162="Angiv ikke",0,((1+M162)*VLOOKUP(B162&amp;"_"&amp;J162,'LCA data'!$B$7:$X$360,19,FALSE)*(K162*10^3)*C162))</f>
        <v>0</v>
      </c>
      <c r="Y162" s="323"/>
      <c r="Z162" s="323"/>
      <c r="AA162" s="323" t="s">
        <v>4</v>
      </c>
      <c r="AB162" s="323">
        <f>AF162/$J$21/$Y$24*1000</f>
        <v>0</v>
      </c>
      <c r="AC162" s="323">
        <f>Varmetab!H74</f>
        <v>0</v>
      </c>
      <c r="AD162" s="323">
        <f>AB162+AC162</f>
        <v>0</v>
      </c>
      <c r="AE162" s="323" t="s">
        <v>4</v>
      </c>
      <c r="AF162" s="323">
        <f>W161/1000</f>
        <v>0</v>
      </c>
      <c r="AG162" s="323"/>
      <c r="AH162" s="323"/>
      <c r="AI162" s="323" t="str">
        <f>'LCA data'!$B$105</f>
        <v>Loftsbeklædning</v>
      </c>
      <c r="AJ162" s="323">
        <f>VLOOKUP(E165,Pris.loft.beklædning[],2,0)*C165</f>
        <v>0</v>
      </c>
      <c r="AK162" s="323">
        <f>VLOOKUP(J165,Pris.loft.beklædning[],2,0)*C165</f>
        <v>0</v>
      </c>
      <c r="AL162" s="323"/>
      <c r="AM162" s="323"/>
      <c r="AN162" s="323">
        <f>IF(E162="Angiv ikke",0,((1+H162)*VLOOKUP(B162&amp;"_"&amp;E162,'LCA data'!$B$7:$X$360,20,FALSE)*(F162*10^3)*C162))</f>
        <v>0</v>
      </c>
      <c r="AO162" s="323">
        <f>IF(J162="Angiv ikke",0,((1+M162)*VLOOKUP(B162&amp;"_"&amp;J162,'LCA data'!$B$7:$X$360,20,FALSE)*(K162*10^3)*C162))</f>
        <v>0</v>
      </c>
      <c r="AP162" s="323"/>
      <c r="AQ162" s="323"/>
      <c r="AR162" s="323">
        <f>IF(E162="Angiv ikke",0,((1+H162)*VLOOKUP(B162&amp;"_"&amp;E162,'LCA data'!$B$7:$AA$360,26,FALSE)*(F162*10^3)*C162))</f>
        <v>0</v>
      </c>
      <c r="AS162" s="323">
        <f>IF(J162="Angiv ikke",0,((1+M162)*VLOOKUP(B162&amp;"_"&amp;J162,'LCA data'!$B$7:$AA$360,26,FALSE)*(K162*10^3)*C162))</f>
        <v>0</v>
      </c>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3"/>
      <c r="BR162" s="323"/>
      <c r="BS162" s="323"/>
      <c r="BT162" s="323"/>
      <c r="BU162" s="323"/>
      <c r="BV162" s="323"/>
      <c r="BW162" s="323"/>
      <c r="BX162" s="323"/>
      <c r="BY162" s="323"/>
      <c r="BZ162" s="323"/>
      <c r="CA162" s="323"/>
      <c r="CB162" s="323"/>
      <c r="CC162" s="323"/>
      <c r="CD162" s="323"/>
      <c r="CE162" s="323"/>
      <c r="CF162" s="323"/>
      <c r="CG162" s="323"/>
      <c r="CH162" s="323"/>
      <c r="CI162" s="323"/>
      <c r="CJ162" s="323"/>
      <c r="CK162" s="323"/>
      <c r="CL162" s="323"/>
      <c r="CM162" s="323"/>
      <c r="CN162" s="323"/>
      <c r="CO162" s="323"/>
      <c r="CP162" s="442"/>
      <c r="CQ162" s="438"/>
      <c r="CR162" s="323"/>
      <c r="CS162" s="323"/>
      <c r="CT162" s="323"/>
      <c r="CU162" s="323"/>
      <c r="CV162" s="323"/>
      <c r="CW162" s="323"/>
      <c r="CX162" s="323"/>
      <c r="CY162" s="323"/>
      <c r="CZ162" s="323"/>
      <c r="EK162" s="1070"/>
      <c r="EL162" s="1070"/>
      <c r="EM162" s="1070"/>
      <c r="EN162" s="1070"/>
      <c r="EO162" s="1070"/>
      <c r="EP162" s="1070"/>
      <c r="EQ162" s="1070"/>
    </row>
    <row r="163" spans="2:222" ht="40.4" hidden="1" customHeight="1" outlineLevel="1" x14ac:dyDescent="0.35">
      <c r="B163" s="208" t="str">
        <f>'LCA data'!B$32</f>
        <v>Isolering</v>
      </c>
      <c r="C163" s="466">
        <f t="shared" ref="C163:C165" si="14">$C$160*$C$44</f>
        <v>0</v>
      </c>
      <c r="D163" s="168" t="s">
        <v>103</v>
      </c>
      <c r="E163" s="342" t="str">
        <f>IF($D$161=$D$82,D163,VLOOKUP(B163,Auto_Tag[],VLOOKUP($D$161,Type_Tung_Middel_Let[],2,0),0))</f>
        <v>Angiv ikke</v>
      </c>
      <c r="F163" s="11">
        <v>0.4</v>
      </c>
      <c r="G163" s="473" t="str">
        <f>VLOOKUP(E163,Isoleringsmateriale[],2,0)</f>
        <v>?</v>
      </c>
      <c r="H163" s="351" t="str">
        <f>IFERROR(IF(VLOOKUP(B163&amp;"_"&amp;E163,'LCA data'!$B$7:$X$200,2,FALSE)&lt;$Y$24,1,0)+IF(VLOOKUP(B163&amp;"_"&amp;E163,'LCA data'!$B$7:$X$200,2,FALSE)*2&lt;$Y$24,1,0),"")</f>
        <v/>
      </c>
      <c r="I163" s="168" t="s">
        <v>103</v>
      </c>
      <c r="J163" s="342" t="str">
        <f>IF($I$161=$D$82,I163,VLOOKUP(B163,Auto_Tag[],VLOOKUP($I$161,Type_Tung_Middel_Let[],2,0),0))</f>
        <v>Angiv ikke</v>
      </c>
      <c r="K163" s="11">
        <v>0.4</v>
      </c>
      <c r="L163" s="473" t="str">
        <f>VLOOKUP(J163,Isoleringsmateriale[],2,0)</f>
        <v>?</v>
      </c>
      <c r="M163" s="515" t="str">
        <f>IFERROR(IF(VLOOKUP(B163&amp;"_"&amp;J163,'LCA data'!$B$7:$X$200,2,FALSE)&lt;$Y$24,1,0)+IF(VLOOKUP(B163&amp;"_"&amp;J163,'LCA data'!$B$7:$X$200,2,FALSE)*2&lt;$Y$24,1,0),"")</f>
        <v/>
      </c>
      <c r="N163" s="206">
        <f>W163/1000</f>
        <v>0</v>
      </c>
      <c r="O163" s="878"/>
      <c r="P163" s="207">
        <f>X163/1000</f>
        <v>0</v>
      </c>
      <c r="Q163" s="889"/>
      <c r="R163" s="192"/>
      <c r="S163" s="196"/>
      <c r="V163" s="251"/>
      <c r="W163" s="323">
        <f>IF(E163="Angiv ikke",0,((1+H163)*VLOOKUP(B163&amp;"_"&amp;E163,'LCA data'!$B$7:$X$360,19,FALSE)*(F163*10^3)*C163))</f>
        <v>0</v>
      </c>
      <c r="X163" s="323">
        <f>IF(J163="Angiv ikke",0,((1+M163)*VLOOKUP(B163&amp;"_"&amp;J163,'LCA data'!$B$7:$X$360,19,FALSE)*(K163*10^3)*C163))</f>
        <v>0</v>
      </c>
      <c r="Y163" s="323">
        <f>IF(G163="_",0,AC162*$J$21*$Y$24)</f>
        <v>0</v>
      </c>
      <c r="Z163" s="323">
        <f>IF(L163="_",0,AC163*$J$21*$Y$24)</f>
        <v>0</v>
      </c>
      <c r="AA163" s="323" t="s">
        <v>5</v>
      </c>
      <c r="AB163" s="323">
        <f>AG163/$J$21/$Y$24*1000</f>
        <v>0</v>
      </c>
      <c r="AC163" s="323">
        <f>Varmetab!I74</f>
        <v>0</v>
      </c>
      <c r="AD163" s="323">
        <f>AB163+AC163</f>
        <v>0</v>
      </c>
      <c r="AE163" s="323" t="s">
        <v>5</v>
      </c>
      <c r="AF163" s="323"/>
      <c r="AG163" s="323">
        <f>X161/1000</f>
        <v>0</v>
      </c>
      <c r="AH163" s="323"/>
      <c r="AI163" s="323" t="s">
        <v>743</v>
      </c>
      <c r="AJ163" s="323">
        <f>SUM(AJ159:AJ162)</f>
        <v>0</v>
      </c>
      <c r="AK163" s="323">
        <f>SUM(AK159:AK162)</f>
        <v>0</v>
      </c>
      <c r="AL163" s="323"/>
      <c r="AM163" s="323"/>
      <c r="AN163" s="323">
        <f>IF(E163="Angiv ikke",0,((1+H163)*VLOOKUP(B163&amp;"_"&amp;E163,'LCA data'!$B$7:$X$360,20,FALSE)*(F163*10^3)*C163))</f>
        <v>0</v>
      </c>
      <c r="AO163" s="323">
        <f>IF(J163="Angiv ikke",0,((1+M163)*VLOOKUP(B163&amp;"_"&amp;J163,'LCA data'!$B$7:$X$360,20,FALSE)*(K163*10^3)*C163))</f>
        <v>0</v>
      </c>
      <c r="AP163" s="323"/>
      <c r="AQ163" s="323"/>
      <c r="AR163" s="323">
        <f>IF(E163="Angiv ikke",0,((1+H163)*VLOOKUP(B163&amp;"_"&amp;E163,'LCA data'!$B$7:$AA$360,26,FALSE)*(F163*10^3)*C163))</f>
        <v>0</v>
      </c>
      <c r="AS163" s="323">
        <f>IF(J163="Angiv ikke",0,((1+M163)*VLOOKUP(B163&amp;"_"&amp;J163,'LCA data'!$B$7:$AA$360,26,FALSE)*(K163*10^3)*C163))</f>
        <v>0</v>
      </c>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3"/>
      <c r="BR163" s="323"/>
      <c r="BS163" s="323"/>
      <c r="BT163" s="323"/>
      <c r="BU163" s="323"/>
      <c r="BV163" s="323"/>
      <c r="BW163" s="323"/>
      <c r="BX163" s="323"/>
      <c r="BY163" s="323"/>
      <c r="BZ163" s="323"/>
      <c r="CA163" s="323"/>
      <c r="CB163" s="323"/>
      <c r="CC163" s="323"/>
      <c r="CD163" s="323"/>
      <c r="CE163" s="323"/>
      <c r="CF163" s="323"/>
      <c r="CG163" s="323"/>
      <c r="CH163" s="323"/>
      <c r="CI163" s="323"/>
      <c r="CJ163" s="323"/>
      <c r="CK163" s="323"/>
      <c r="CL163" s="323"/>
      <c r="CM163" s="323"/>
      <c r="CN163" s="323"/>
      <c r="CO163" s="323"/>
      <c r="CP163" s="439"/>
      <c r="CQ163" s="440"/>
      <c r="CR163" s="323"/>
      <c r="CS163" s="323"/>
      <c r="CT163" s="323"/>
      <c r="CU163" s="323"/>
      <c r="CV163" s="323"/>
      <c r="CW163" s="323"/>
      <c r="CX163" s="323"/>
      <c r="CY163" s="323"/>
      <c r="CZ163" s="323"/>
      <c r="EK163" s="1070"/>
      <c r="EL163" s="1070"/>
      <c r="EM163" s="1070"/>
      <c r="EN163" s="1070"/>
      <c r="EO163" s="1070"/>
      <c r="EP163" s="1070"/>
      <c r="EQ163" s="1070"/>
    </row>
    <row r="164" spans="2:222" ht="40.4" hidden="1" customHeight="1" outlineLevel="1" thickBot="1" x14ac:dyDescent="0.4">
      <c r="B164" s="205" t="str">
        <f>'LCA data'!$B$93</f>
        <v>Tagkonstruktion</v>
      </c>
      <c r="C164" s="466">
        <f t="shared" si="14"/>
        <v>0</v>
      </c>
      <c r="D164" s="169" t="s">
        <v>103</v>
      </c>
      <c r="E164" s="342" t="str">
        <f>IF($D$161=$D$82,D164,VLOOKUP(B164,Auto_Tag[],VLOOKUP($D$161,Type_Tung_Middel_Let[],2,0),0))</f>
        <v>Angiv ikke</v>
      </c>
      <c r="F164" s="172">
        <f>IF(E164="Betonhuldæk",(VLOOKUP(E164,Pris.tag.konstruktion[],4,0)/1000),F163)</f>
        <v>0.4</v>
      </c>
      <c r="G164" s="350"/>
      <c r="H164" s="351" t="str">
        <f>IFERROR(IF(VLOOKUP(B164&amp;"_"&amp;E164,'LCA data'!$B$7:$X$200,2,FALSE)&lt;$Y$24,1,0)+IF(VLOOKUP(B164&amp;"_"&amp;E164,'LCA data'!$B$7:$X$200,2,FALSE)*2&lt;$Y$24,1,0),"")</f>
        <v/>
      </c>
      <c r="I164" s="169" t="s">
        <v>103</v>
      </c>
      <c r="J164" s="342" t="str">
        <f>IF($I$161=$D$82,I164,VLOOKUP(B164,Auto_Tag[],VLOOKUP($I$161,Type_Tung_Middel_Let[],2,0),0))</f>
        <v>Angiv ikke</v>
      </c>
      <c r="K164" s="172">
        <f>IF(OR(J164="Betonhuldæk",J164="CLT"),(VLOOKUP(J164,Pris.tag.konstruktion[],4,0)/1000),K163)</f>
        <v>0.4</v>
      </c>
      <c r="L164" s="514"/>
      <c r="M164" s="515" t="str">
        <f>IFERROR(IF(VLOOKUP(B164&amp;"_"&amp;J164,'LCA data'!$B$7:$X$200,2,FALSE)&lt;$Y$24,1,0)+IF(VLOOKUP(B164&amp;"_"&amp;J164,'LCA data'!$B$7:$X$200,2,FALSE)*2&lt;$Y$24,1,0),"")</f>
        <v/>
      </c>
      <c r="N164" s="206">
        <f>W164/1000</f>
        <v>0</v>
      </c>
      <c r="O164" s="878"/>
      <c r="P164" s="207">
        <f>X164/1000</f>
        <v>0</v>
      </c>
      <c r="Q164" s="889"/>
      <c r="R164" s="192"/>
      <c r="S164" s="196"/>
      <c r="V164" s="251"/>
      <c r="W164" s="323">
        <f>IF(E164="Angiv ikke",0,((1+H164)*VLOOKUP(B164&amp;"_"&amp;E164,'LCA data'!$B$7:$X$360,19,FALSE)*(F164*10^3)*C164))</f>
        <v>0</v>
      </c>
      <c r="X164" s="323">
        <f>IF(J164="Angiv ikke",0,((1+M164)*VLOOKUP(B164&amp;"_"&amp;J164,'LCA data'!$B$7:$X$360,19,FALSE)*(K164*10^3)*C164))</f>
        <v>0</v>
      </c>
      <c r="Y164" s="323"/>
      <c r="Z164" s="323"/>
      <c r="AA164" s="323"/>
      <c r="AB164" s="323"/>
      <c r="AC164" s="323"/>
      <c r="AD164" s="323"/>
      <c r="AE164" s="323"/>
      <c r="AF164" s="323"/>
      <c r="AG164" s="323"/>
      <c r="AH164" s="323"/>
      <c r="AI164" s="323"/>
      <c r="AJ164" s="323"/>
      <c r="AK164" s="323"/>
      <c r="AL164" s="323"/>
      <c r="AM164" s="323"/>
      <c r="AN164" s="323">
        <f>IF(E164="Angiv ikke",0,((1+H164)*VLOOKUP(B164&amp;"_"&amp;E164,'LCA data'!$B$7:$X$360,20,FALSE)*(F164*10^3)*C164))</f>
        <v>0</v>
      </c>
      <c r="AO164" s="323">
        <f>IF(J164="Angiv ikke",0,((1+M164)*VLOOKUP(B164&amp;"_"&amp;J164,'LCA data'!$B$7:$X$360,20,FALSE)*(K164*10^3)*C164))</f>
        <v>0</v>
      </c>
      <c r="AP164" s="323"/>
      <c r="AQ164" s="323"/>
      <c r="AR164" s="323">
        <f>IF(E164="Angiv ikke",0,((1+H164)*VLOOKUP(B164&amp;"_"&amp;E164,'LCA data'!$B$7:$AA$360,26,FALSE)*(F164*10^3)*C164))</f>
        <v>0</v>
      </c>
      <c r="AS164" s="323">
        <f>IF(J164="Angiv ikke",0,((1+M164)*VLOOKUP(B164&amp;"_"&amp;J164,'LCA data'!$B$7:$AA$360,26,FALSE)*(K164*10^3)*C164))</f>
        <v>0</v>
      </c>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3"/>
      <c r="BR164" s="323"/>
      <c r="BS164" s="323"/>
      <c r="BT164" s="323"/>
      <c r="BU164" s="323"/>
      <c r="BV164" s="323"/>
      <c r="BW164" s="323"/>
      <c r="BX164" s="323"/>
      <c r="BY164" s="323"/>
      <c r="BZ164" s="323"/>
      <c r="CA164" s="323"/>
      <c r="CB164" s="323"/>
      <c r="CC164" s="323"/>
      <c r="CD164" s="323"/>
      <c r="CE164" s="323"/>
      <c r="CF164" s="323"/>
      <c r="CG164" s="323"/>
      <c r="CH164" s="323"/>
      <c r="CI164" s="323"/>
      <c r="CJ164" s="323"/>
      <c r="CK164" s="323"/>
      <c r="CL164" s="323"/>
      <c r="CM164" s="323"/>
      <c r="CN164" s="323"/>
      <c r="CO164" s="323"/>
      <c r="CP164" s="439"/>
      <c r="CQ164" s="440"/>
      <c r="CR164" s="323"/>
      <c r="CS164" s="323"/>
      <c r="CT164" s="323"/>
      <c r="CU164" s="323"/>
      <c r="CV164" s="323"/>
      <c r="CW164" s="323"/>
      <c r="CX164" s="323"/>
      <c r="CY164" s="323"/>
      <c r="CZ164" s="323"/>
      <c r="EK164" s="1070"/>
      <c r="EL164" s="1070"/>
      <c r="EM164" s="1070"/>
      <c r="EN164" s="1070"/>
      <c r="EO164" s="1070"/>
      <c r="EP164" s="1070"/>
      <c r="EQ164" s="1070"/>
    </row>
    <row r="165" spans="2:222" ht="40.4" hidden="1" customHeight="1" outlineLevel="1" thickBot="1" x14ac:dyDescent="0.4">
      <c r="B165" s="209" t="str">
        <f>'LCA data'!$B$105</f>
        <v>Loftsbeklædning</v>
      </c>
      <c r="C165" s="467">
        <f t="shared" si="14"/>
        <v>0</v>
      </c>
      <c r="D165" s="171" t="s">
        <v>103</v>
      </c>
      <c r="E165" s="382" t="str">
        <f>IF($D$161=$D$82,D165,VLOOKUP(B165,Auto_Tag[],VLOOKUP($D$161,Type_Tung_Middel_Let[],2,0),0))</f>
        <v>Angiv ikke</v>
      </c>
      <c r="F165" s="474">
        <f>(VLOOKUP(E165,Pris.loft.beklædning[],4,0))/1000</f>
        <v>0</v>
      </c>
      <c r="G165" s="354"/>
      <c r="H165" s="355" t="str">
        <f>IFERROR(IF(VLOOKUP(B165&amp;"_"&amp;E165,'LCA data'!$B$7:$X$200,2,FALSE)&lt;$Y$24,1,0)+IF(VLOOKUP(B165&amp;"_"&amp;E165,'LCA data'!$B$7:$X$200,2,FALSE)*2&lt;$Y$24,1,0),"")</f>
        <v/>
      </c>
      <c r="I165" s="171" t="s">
        <v>103</v>
      </c>
      <c r="J165" s="382" t="str">
        <f>IF($I$161=$D$82,I165,VLOOKUP(B165,Auto_Tag[],VLOOKUP($I$161,Type_Tung_Middel_Let[],2,0),0))</f>
        <v>Angiv ikke</v>
      </c>
      <c r="K165" s="522">
        <f>(VLOOKUP(J165,Pris.loft.beklædning[],4,0))/1000</f>
        <v>0</v>
      </c>
      <c r="L165" s="519"/>
      <c r="M165" s="520" t="str">
        <f>IFERROR(IF(VLOOKUP(B165&amp;"_"&amp;J165,'LCA data'!$B$7:$X$200,2,FALSE)&lt;$Y$24,1,0)+IF(VLOOKUP(B165&amp;"_"&amp;J165,'LCA data'!$B$7:$X$200,2,FALSE)*2&lt;$Y$24,1,0),"")</f>
        <v/>
      </c>
      <c r="N165" s="210">
        <f>W165/1000</f>
        <v>0</v>
      </c>
      <c r="O165" s="879"/>
      <c r="P165" s="211">
        <f>X165/1000</f>
        <v>0</v>
      </c>
      <c r="Q165" s="890"/>
      <c r="R165" s="212"/>
      <c r="S165" s="213"/>
      <c r="V165" s="251"/>
      <c r="W165" s="323">
        <f>IF(E165="Angiv ikke",0,((1+H165)*VLOOKUP(B165&amp;"_"&amp;E165,'LCA data'!$B$7:$X$360,19,FALSE)*(F165*10^3)*C165))</f>
        <v>0</v>
      </c>
      <c r="X165" s="323">
        <f>IF(J165="Angiv ikke",0,((1+M165)*VLOOKUP(B165&amp;"_"&amp;J165,'LCA data'!$B$7:$X$360,19,FALSE)*(K165*10^3)*C165))</f>
        <v>0</v>
      </c>
      <c r="Y165" s="323"/>
      <c r="Z165" s="323"/>
      <c r="AA165" s="323"/>
      <c r="AB165" s="323"/>
      <c r="AC165" s="323"/>
      <c r="AD165" s="323"/>
      <c r="AE165" s="323"/>
      <c r="AF165" s="323"/>
      <c r="AG165" s="323"/>
      <c r="AH165" s="323"/>
      <c r="AI165" s="323"/>
      <c r="AJ165" s="323"/>
      <c r="AK165" s="323"/>
      <c r="AL165" s="323"/>
      <c r="AM165" s="323"/>
      <c r="AN165" s="323">
        <f>IF(E165="Angiv ikke",0,((1+H165)*VLOOKUP(B165&amp;"_"&amp;E165,'LCA data'!$B$7:$X$360,20,FALSE)*(F165*10^3)*C165))</f>
        <v>0</v>
      </c>
      <c r="AO165" s="323">
        <f>IF(J165="Angiv ikke",0,((1+M165)*VLOOKUP(B165&amp;"_"&amp;J165,'LCA data'!$B$7:$X$360,20,FALSE)*(K165*10^3)*C165))</f>
        <v>0</v>
      </c>
      <c r="AP165" s="323"/>
      <c r="AQ165" s="323"/>
      <c r="AR165" s="323">
        <f>IF(E165="Angiv ikke",0,((1+H165)*VLOOKUP(B165&amp;"_"&amp;E165,'LCA data'!$B$7:$AA$360,26,FALSE)*(F165*10^3)*C165))</f>
        <v>0</v>
      </c>
      <c r="AS165" s="323">
        <f>IF(J165="Angiv ikke",0,((1+M165)*VLOOKUP(B165&amp;"_"&amp;J165,'LCA data'!$B$7:$AA$360,26,FALSE)*(K165*10^3)*C165))</f>
        <v>0</v>
      </c>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3"/>
      <c r="BR165" s="323"/>
      <c r="BS165" s="323"/>
      <c r="BT165" s="323"/>
      <c r="BU165" s="323"/>
      <c r="BV165" s="323"/>
      <c r="BW165" s="323"/>
      <c r="BX165" s="323"/>
      <c r="BY165" s="323"/>
      <c r="BZ165" s="323"/>
      <c r="CA165" s="323"/>
      <c r="CB165" s="323"/>
      <c r="CC165" s="323"/>
      <c r="CD165" s="323"/>
      <c r="CE165" s="323"/>
      <c r="CF165" s="323"/>
      <c r="CG165" s="323"/>
      <c r="CH165" s="323"/>
      <c r="CI165" s="323"/>
      <c r="CJ165" s="323"/>
      <c r="CK165" s="323"/>
      <c r="CL165" s="323"/>
      <c r="CM165" s="323"/>
      <c r="CN165" s="323"/>
      <c r="CO165" s="323"/>
      <c r="CP165" s="1144" t="s">
        <v>77</v>
      </c>
      <c r="CQ165" s="1145"/>
      <c r="CR165" s="323"/>
      <c r="CS165" s="323"/>
      <c r="CT165" s="323"/>
      <c r="CU165" s="323"/>
      <c r="CV165" s="323"/>
      <c r="CW165" s="323"/>
      <c r="CX165" s="323"/>
      <c r="CY165" s="323"/>
      <c r="CZ165" s="323"/>
      <c r="EK165" s="1070"/>
      <c r="EL165" s="1070"/>
      <c r="EM165" s="1070"/>
      <c r="EN165" s="1070"/>
      <c r="EO165" s="1070"/>
      <c r="EP165" s="1070"/>
      <c r="EQ165" s="1070"/>
    </row>
    <row r="166" spans="2:222" ht="13.5" hidden="1" customHeight="1" outlineLevel="1" x14ac:dyDescent="0.45">
      <c r="B166" s="173" t="s">
        <v>116</v>
      </c>
      <c r="N166" s="218"/>
      <c r="P166" s="216"/>
      <c r="Q166" s="220"/>
      <c r="R166" s="217"/>
      <c r="V166" s="251"/>
      <c r="W166" s="323"/>
      <c r="X166" s="323"/>
      <c r="Y166" s="323"/>
      <c r="Z166" s="323"/>
      <c r="AA166" s="323"/>
      <c r="AB166" s="323">
        <f>IFERROR((AB163*10^3/(#REF!*#REF!)),0)</f>
        <v>0</v>
      </c>
      <c r="AC166" s="323"/>
      <c r="AD166" s="323"/>
      <c r="AE166" s="323"/>
      <c r="AF166" s="323"/>
      <c r="AG166" s="323"/>
      <c r="AH166" s="323"/>
      <c r="AI166" s="323" t="str">
        <f>IFERROR(VLOOKUP(B166&amp;"_"&amp;J166,'LCA data'!$B$7:$X$200,19,FALSE)*(K166*10^3)*C166,"")</f>
        <v/>
      </c>
      <c r="AJ166" s="323" t="str">
        <f>IFERROR(VLOOKUP($B166&amp;"_"&amp;J166,'LCA data'!$B$7:$X$238,2,FALSE),"")</f>
        <v/>
      </c>
      <c r="AK166" s="323" t="str">
        <f>IFERROR(IF(M166&gt;0,VLOOKUP(B166&amp;"_"&amp;J166,'LCA data'!$B$7:$X$200,19,FALSE)*(K166*10^3)*C166,""),"")</f>
        <v/>
      </c>
      <c r="AL166" s="323" t="str">
        <f>IFERROR(AJ166+VLOOKUP(B166&amp;"_"&amp;J166,'LCA data'!$B$7:$X$238,2,FALSE),"")</f>
        <v/>
      </c>
      <c r="AM166" s="323" t="str">
        <f>IFERROR(IF(M166-1&gt;0,VLOOKUP(B166&amp;"_"&amp;J166,'LCA data'!$B$7:$X$200,19,FALSE)*(K166*10^3)*C166,""),"")</f>
        <v/>
      </c>
      <c r="AN166" s="323" t="str">
        <f>IFERROR(AL166+VLOOKUP(B166&amp;"_"&amp;J166,'LCA data'!$B$7:$X$238,2,FALSE),"")</f>
        <v/>
      </c>
      <c r="AO166" s="323" t="str">
        <f>IFERROR(IF(M166-2&gt;0,VLOOKUP(B166&amp;"_"&amp;J166,'LCA data'!$B$7:$X$200,19,FALSE)*(K166*10^3)*C166,""),"")</f>
        <v/>
      </c>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3"/>
      <c r="BR166" s="323"/>
      <c r="BS166" s="323"/>
      <c r="BT166" s="323"/>
      <c r="BU166" s="323"/>
      <c r="BV166" s="323"/>
      <c r="BW166" s="323"/>
      <c r="BX166" s="323"/>
      <c r="BY166" s="323"/>
      <c r="BZ166" s="323"/>
      <c r="CA166" s="323"/>
      <c r="CB166" s="323"/>
      <c r="CC166" s="323"/>
      <c r="CD166" s="323"/>
      <c r="CE166" s="323"/>
      <c r="CF166" s="323"/>
      <c r="CG166" s="323"/>
      <c r="CH166" s="323"/>
      <c r="CI166" s="323"/>
      <c r="CJ166" s="323"/>
      <c r="CK166" s="323"/>
      <c r="CL166" s="323"/>
      <c r="CM166" s="323"/>
      <c r="CN166" s="323"/>
      <c r="CO166" s="323"/>
      <c r="CP166" s="431"/>
      <c r="CQ166" s="432"/>
      <c r="CR166" s="323"/>
      <c r="CS166" s="323"/>
      <c r="CT166" s="323"/>
      <c r="CU166" s="323"/>
      <c r="CV166" s="323"/>
      <c r="CW166" s="323"/>
      <c r="CX166" s="323"/>
      <c r="CY166" s="323"/>
      <c r="CZ166" s="323"/>
      <c r="EK166" s="1070"/>
      <c r="EL166" s="1070"/>
      <c r="EM166" s="1070"/>
      <c r="EN166" s="1070"/>
      <c r="EO166" s="1070"/>
      <c r="EP166" s="1070"/>
      <c r="EQ166" s="1070"/>
    </row>
    <row r="167" spans="2:222" ht="18.649999999999999" customHeight="1" collapsed="1" x14ac:dyDescent="0.45">
      <c r="B167" s="554"/>
      <c r="C167" s="554"/>
      <c r="D167" s="542"/>
      <c r="E167" s="553"/>
      <c r="F167" s="553"/>
      <c r="G167" s="553"/>
      <c r="H167" s="553"/>
      <c r="I167" s="542"/>
      <c r="J167" s="553"/>
      <c r="K167" s="553"/>
      <c r="L167" s="553"/>
      <c r="M167" s="553"/>
      <c r="N167" s="229"/>
      <c r="O167" s="229"/>
      <c r="P167" s="230"/>
      <c r="Q167" s="220"/>
      <c r="R167" s="217"/>
      <c r="S167" s="240"/>
      <c r="T167" s="175"/>
      <c r="V167" s="251"/>
      <c r="W167" s="323"/>
      <c r="X167" s="323"/>
      <c r="Y167" s="323"/>
      <c r="Z167" s="323"/>
      <c r="AA167" s="323"/>
      <c r="AB167" s="323"/>
      <c r="AC167" s="323"/>
      <c r="AD167" s="323"/>
      <c r="AE167" s="323"/>
      <c r="AF167" s="323"/>
      <c r="AG167" s="323"/>
      <c r="AH167" s="323"/>
      <c r="AI167" s="323" t="str">
        <f>IFERROR(VLOOKUP(B167&amp;"_"&amp;J167,'LCA data'!$B$7:$X$200,19,FALSE)*(K167*10^3)*C167,"")</f>
        <v/>
      </c>
      <c r="AJ167" s="323" t="str">
        <f>IFERROR(VLOOKUP($B167&amp;"_"&amp;J167,'LCA data'!$B$7:$X$238,2,FALSE),"")</f>
        <v/>
      </c>
      <c r="AK167" s="323" t="str">
        <f>IFERROR(IF(M167&gt;0,VLOOKUP(B167&amp;"_"&amp;J167,'LCA data'!$B$7:$X$200,19,FALSE)*(K167*10^3)*C167,""),"")</f>
        <v/>
      </c>
      <c r="AL167" s="323" t="str">
        <f>IFERROR(AJ167+VLOOKUP(B167&amp;"_"&amp;J167,'LCA data'!$B$7:$X$238,2,FALSE),"")</f>
        <v/>
      </c>
      <c r="AM167" s="323" t="str">
        <f>IFERROR(IF(M167-1&gt;0,VLOOKUP(B167&amp;"_"&amp;J167,'LCA data'!$B$7:$X$200,19,FALSE)*(K167*10^3)*C167,""),"")</f>
        <v/>
      </c>
      <c r="AN167" s="323" t="str">
        <f>IFERROR(AL167+VLOOKUP(B167&amp;"_"&amp;J167,'LCA data'!$B$7:$X$238,2,FALSE),"")</f>
        <v/>
      </c>
      <c r="AO167" s="323" t="str">
        <f>IFERROR(IF(M167-2&gt;0,VLOOKUP(B167&amp;"_"&amp;J167,'LCA data'!$B$7:$X$200,19,FALSE)*(K167*10^3)*C167,""),"")</f>
        <v/>
      </c>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3"/>
      <c r="BR167" s="323"/>
      <c r="BS167" s="323"/>
      <c r="BT167" s="323"/>
      <c r="BU167" s="323"/>
      <c r="BV167" s="323"/>
      <c r="BW167" s="323"/>
      <c r="BX167" s="323"/>
      <c r="BY167" s="323"/>
      <c r="BZ167" s="323"/>
      <c r="CA167" s="323"/>
      <c r="CB167" s="323"/>
      <c r="CC167" s="323"/>
      <c r="CD167" s="323"/>
      <c r="CE167" s="323"/>
      <c r="CF167" s="323"/>
      <c r="CG167" s="323"/>
      <c r="CH167" s="323"/>
      <c r="CI167" s="323"/>
      <c r="CJ167" s="323"/>
      <c r="CK167" s="323"/>
      <c r="CL167" s="323"/>
      <c r="CM167" s="323"/>
      <c r="CN167" s="323"/>
      <c r="CO167" s="323"/>
      <c r="CP167" s="431"/>
      <c r="CQ167" s="433"/>
      <c r="CR167" s="323"/>
      <c r="CS167" s="323"/>
      <c r="CT167" s="323"/>
      <c r="CU167" s="323"/>
      <c r="CV167" s="323"/>
      <c r="CW167" s="323"/>
      <c r="CX167" s="323"/>
      <c r="CY167" s="323"/>
      <c r="CZ167" s="323"/>
      <c r="EK167" s="1070"/>
      <c r="EL167" s="1070"/>
      <c r="EM167" s="1070"/>
      <c r="EN167" s="1070"/>
      <c r="EO167" s="1070"/>
      <c r="EP167" s="1070"/>
      <c r="EQ167" s="1070"/>
    </row>
    <row r="168" spans="2:222" ht="35.25" hidden="1" customHeight="1" outlineLevel="1" x14ac:dyDescent="0.35">
      <c r="B168" s="493" t="s">
        <v>112</v>
      </c>
      <c r="C168" s="499"/>
      <c r="D168" s="499"/>
      <c r="E168" s="506" t="s">
        <v>114</v>
      </c>
      <c r="F168" s="499"/>
      <c r="G168" s="499"/>
      <c r="H168" s="499"/>
      <c r="I168" s="500" t="str">
        <f>"Tagkonstruktion"&amp;" "&amp;4</f>
        <v>Tagkonstruktion 4</v>
      </c>
      <c r="J168" s="500"/>
      <c r="K168" s="499"/>
      <c r="L168" s="499"/>
      <c r="M168" s="499"/>
      <c r="N168" s="499"/>
      <c r="O168" s="499"/>
      <c r="P168" s="499"/>
      <c r="Q168" s="501"/>
      <c r="R168" s="190"/>
      <c r="S168" s="191"/>
      <c r="V168" s="251"/>
      <c r="W168" s="323">
        <f>IF(D171=$D$82,1,0)</f>
        <v>1</v>
      </c>
      <c r="X168" s="323">
        <f>IF(I171=$D$82,1,0)</f>
        <v>1</v>
      </c>
      <c r="Y168" s="323"/>
      <c r="Z168" s="323"/>
      <c r="AA168" s="323"/>
      <c r="AB168" s="323"/>
      <c r="AC168" s="323"/>
      <c r="AD168" s="323"/>
      <c r="AE168" s="323"/>
      <c r="AF168" s="323"/>
      <c r="AG168" s="323"/>
      <c r="AH168" s="323"/>
      <c r="AI168" s="323"/>
      <c r="AJ168" s="323" t="s">
        <v>746</v>
      </c>
      <c r="AK168" s="323" t="s">
        <v>747</v>
      </c>
      <c r="AL168" s="323" t="str">
        <f>IFERROR(AJ168+VLOOKUP(E168&amp;"_"&amp;J168,'LCA data'!$B$7:$X$238,2,FALSE),"")</f>
        <v/>
      </c>
      <c r="AM168" s="323" t="str">
        <f>IFERROR(IF(M168-1&gt;0,VLOOKUP(E168&amp;"_"&amp;J168,'LCA data'!$B$7:$X$200,19,FALSE)*(K168*10^3)*C168,""),"")</f>
        <v/>
      </c>
      <c r="AN168" s="323" t="s">
        <v>846</v>
      </c>
      <c r="AO168" s="323"/>
      <c r="AP168" s="323"/>
      <c r="AQ168" s="323"/>
      <c r="AR168" s="323" t="s">
        <v>851</v>
      </c>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3"/>
      <c r="BR168" s="323"/>
      <c r="BS168" s="323"/>
      <c r="BT168" s="323"/>
      <c r="BU168" s="323"/>
      <c r="BV168" s="323"/>
      <c r="BW168" s="323"/>
      <c r="BX168" s="323"/>
      <c r="BY168" s="323"/>
      <c r="BZ168" s="323"/>
      <c r="CA168" s="323"/>
      <c r="CB168" s="323"/>
      <c r="CC168" s="323"/>
      <c r="CD168" s="323"/>
      <c r="CE168" s="323"/>
      <c r="CF168" s="323"/>
      <c r="CG168" s="323"/>
      <c r="CH168" s="323"/>
      <c r="CI168" s="323"/>
      <c r="CJ168" s="323"/>
      <c r="CK168" s="323"/>
      <c r="CL168" s="323"/>
      <c r="CM168" s="323"/>
      <c r="CN168" s="323"/>
      <c r="CO168" s="323"/>
      <c r="CP168" s="431"/>
      <c r="CQ168" s="434"/>
      <c r="CR168" s="323"/>
      <c r="CS168" s="323"/>
      <c r="CT168" s="323"/>
      <c r="CU168" s="323"/>
      <c r="CV168" s="323"/>
      <c r="CW168" s="323"/>
      <c r="CX168" s="323"/>
      <c r="CY168" s="323"/>
      <c r="CZ168" s="323"/>
      <c r="EK168" s="1070"/>
      <c r="EL168" s="1070"/>
      <c r="EM168" s="1070"/>
      <c r="EN168" s="1070"/>
      <c r="EO168" s="1070"/>
      <c r="EP168" s="1070"/>
      <c r="EQ168" s="1070"/>
    </row>
    <row r="169" spans="2:222" ht="40.4" hidden="1" customHeight="1" outlineLevel="1" x14ac:dyDescent="0.35">
      <c r="B169" s="359" t="s">
        <v>78</v>
      </c>
      <c r="C169" s="195" t="s">
        <v>80</v>
      </c>
      <c r="D169" s="910" t="s">
        <v>4</v>
      </c>
      <c r="E169" s="911"/>
      <c r="F169" s="911"/>
      <c r="G169" s="911"/>
      <c r="H169" s="912"/>
      <c r="I169" s="885" t="s">
        <v>5</v>
      </c>
      <c r="J169" s="886"/>
      <c r="K169" s="886"/>
      <c r="L169" s="886"/>
      <c r="M169" s="887"/>
      <c r="N169" s="877" t="s">
        <v>79</v>
      </c>
      <c r="O169" s="877"/>
      <c r="P169" s="877"/>
      <c r="Q169" s="881"/>
      <c r="R169" s="192"/>
      <c r="S169" s="193"/>
      <c r="T169" s="175"/>
      <c r="V169" s="251"/>
      <c r="W169" s="323"/>
      <c r="X169" s="323"/>
      <c r="Y169" s="323"/>
      <c r="Z169" s="323"/>
      <c r="AA169" s="323"/>
      <c r="AB169" s="323"/>
      <c r="AC169" s="323"/>
      <c r="AD169" s="323"/>
      <c r="AE169" s="323"/>
      <c r="AF169" s="323"/>
      <c r="AG169" s="323"/>
      <c r="AH169" s="323"/>
      <c r="AI169" s="323" t="str">
        <f>'LCA data'!$B$77</f>
        <v>Tagbelægning</v>
      </c>
      <c r="AJ169" s="323">
        <f>VLOOKUP(E172,Pris.tag.beklædning[],2,0)*C172</f>
        <v>0</v>
      </c>
      <c r="AK169" s="323">
        <f>VLOOKUP(J172,Pris.tag.beklædning[],2,0)*C172</f>
        <v>0</v>
      </c>
      <c r="AL169" s="323" t="str">
        <f>IFERROR(AJ169+VLOOKUP(B169&amp;"_"&amp;I169,'LCA data'!$B$7:$X$238,2,FALSE),"")</f>
        <v/>
      </c>
      <c r="AM169" s="323" t="str">
        <f>IFERROR(IF(M169-1&gt;0,VLOOKUP(B169&amp;"_"&amp;I169,'LCA data'!$B$7:$X$200,19,FALSE)*(K169*10^3)*C169,""),"")</f>
        <v/>
      </c>
      <c r="AN169" s="323" t="s">
        <v>4</v>
      </c>
      <c r="AO169" s="323" t="s">
        <v>5</v>
      </c>
      <c r="AP169" s="323"/>
      <c r="AQ169" s="323"/>
      <c r="AR169" s="323" t="s">
        <v>4</v>
      </c>
      <c r="AS169" s="323" t="s">
        <v>5</v>
      </c>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3"/>
      <c r="BR169" s="323"/>
      <c r="BS169" s="323"/>
      <c r="BT169" s="323"/>
      <c r="BU169" s="323"/>
      <c r="BV169" s="323"/>
      <c r="BW169" s="323"/>
      <c r="BX169" s="323"/>
      <c r="BY169" s="323"/>
      <c r="BZ169" s="323"/>
      <c r="CA169" s="323"/>
      <c r="CB169" s="323"/>
      <c r="CC169" s="323"/>
      <c r="CD169" s="323"/>
      <c r="CE169" s="323"/>
      <c r="CF169" s="323"/>
      <c r="CG169" s="323"/>
      <c r="CH169" s="323"/>
      <c r="CI169" s="323"/>
      <c r="CJ169" s="323"/>
      <c r="CK169" s="323"/>
      <c r="CL169" s="323"/>
      <c r="CM169" s="323"/>
      <c r="CN169" s="323"/>
      <c r="CO169" s="323"/>
      <c r="CP169" s="431"/>
      <c r="CQ169" s="433"/>
      <c r="CR169" s="323"/>
      <c r="CS169" s="323"/>
      <c r="CT169" s="323"/>
      <c r="CU169" s="323"/>
      <c r="CV169" s="323"/>
      <c r="CW169" s="323"/>
      <c r="CX169" s="323"/>
      <c r="CY169" s="323"/>
      <c r="CZ169" s="323"/>
      <c r="EK169" s="1070"/>
      <c r="EL169" s="1070"/>
      <c r="EM169" s="1070"/>
      <c r="EN169" s="1070"/>
      <c r="EO169" s="1070"/>
      <c r="EP169" s="1070"/>
      <c r="EQ169" s="1070"/>
    </row>
    <row r="170" spans="2:222" ht="44.9" hidden="1" customHeight="1" outlineLevel="1" x14ac:dyDescent="0.35">
      <c r="B170" s="194"/>
      <c r="C170" s="665">
        <v>0</v>
      </c>
      <c r="D170" s="908" t="s">
        <v>797</v>
      </c>
      <c r="E170" s="909"/>
      <c r="F170" s="338" t="s">
        <v>82</v>
      </c>
      <c r="G170" s="338" t="s">
        <v>83</v>
      </c>
      <c r="H170" s="346" t="s">
        <v>84</v>
      </c>
      <c r="I170" s="913" t="s">
        <v>797</v>
      </c>
      <c r="J170" s="914"/>
      <c r="K170" s="479" t="s">
        <v>82</v>
      </c>
      <c r="L170" s="479" t="s">
        <v>83</v>
      </c>
      <c r="M170" s="508" t="s">
        <v>84</v>
      </c>
      <c r="N170" s="195" t="s">
        <v>4</v>
      </c>
      <c r="O170" s="195" t="s">
        <v>85</v>
      </c>
      <c r="P170" s="195" t="s">
        <v>5</v>
      </c>
      <c r="Q170" s="357" t="s">
        <v>86</v>
      </c>
      <c r="R170" s="192"/>
      <c r="S170" s="196"/>
      <c r="V170" s="251"/>
      <c r="W170" s="323" t="s">
        <v>87</v>
      </c>
      <c r="X170" s="323" t="s">
        <v>88</v>
      </c>
      <c r="Y170" s="323" t="s">
        <v>89</v>
      </c>
      <c r="Z170" s="323" t="s">
        <v>90</v>
      </c>
      <c r="AA170" s="323" t="s">
        <v>91</v>
      </c>
      <c r="AB170" s="323"/>
      <c r="AC170" s="323"/>
      <c r="AD170" s="323"/>
      <c r="AE170" s="323" t="s">
        <v>92</v>
      </c>
      <c r="AF170" s="323"/>
      <c r="AG170" s="323"/>
      <c r="AH170" s="323"/>
      <c r="AI170" s="323" t="s">
        <v>209</v>
      </c>
      <c r="AJ170" s="323">
        <f>VLOOKUP(E173,Pris.isolering.tag[],2,0)*F173*C173</f>
        <v>0</v>
      </c>
      <c r="AK170" s="323">
        <f>VLOOKUP(J173,Pris.isolering.tag[],2,0)*K173*C173</f>
        <v>0</v>
      </c>
      <c r="AL170" s="323" t="str">
        <f>IFERROR(AJ170+VLOOKUP(B170&amp;"_"&amp;J170,'LCA data'!$B$7:$X$238,2,FALSE),"")</f>
        <v/>
      </c>
      <c r="AM170" s="323" t="str">
        <f>IFERROR(IF(M170-1&gt;0,VLOOKUP(B170&amp;"_"&amp;J170,'LCA data'!$B$7:$X$200,19,FALSE)*(K170*10^3)*C170,""),"")</f>
        <v/>
      </c>
      <c r="AN170" s="323">
        <f>SUM(AN172:AN176)</f>
        <v>0</v>
      </c>
      <c r="AO170" s="323">
        <f>SUM(AO172:AO176)</f>
        <v>0</v>
      </c>
      <c r="AP170" s="323"/>
      <c r="AQ170" s="323"/>
      <c r="AR170" s="323">
        <f>SUM(AR172:AR175)</f>
        <v>0</v>
      </c>
      <c r="AS170" s="323">
        <f>SUM(AS172:AS175)</f>
        <v>0</v>
      </c>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3"/>
      <c r="BR170" s="323"/>
      <c r="BS170" s="323"/>
      <c r="BT170" s="323"/>
      <c r="BU170" s="323"/>
      <c r="BV170" s="323"/>
      <c r="BW170" s="323"/>
      <c r="BX170" s="323"/>
      <c r="BY170" s="323"/>
      <c r="BZ170" s="323"/>
      <c r="CA170" s="323"/>
      <c r="CB170" s="323"/>
      <c r="CC170" s="323"/>
      <c r="CD170" s="323"/>
      <c r="CE170" s="323"/>
      <c r="CF170" s="323"/>
      <c r="CG170" s="323"/>
      <c r="CH170" s="323"/>
      <c r="CI170" s="323"/>
      <c r="CJ170" s="323"/>
      <c r="CK170" s="323"/>
      <c r="CL170" s="323"/>
      <c r="CM170" s="323"/>
      <c r="CN170" s="323"/>
      <c r="CO170" s="323"/>
      <c r="CP170" s="431"/>
      <c r="CQ170" s="433"/>
      <c r="CR170" s="323"/>
      <c r="CS170" s="323"/>
      <c r="CT170" s="323"/>
      <c r="CU170" s="323"/>
      <c r="CV170" s="323"/>
      <c r="CW170" s="323"/>
      <c r="CX170" s="323"/>
      <c r="CY170" s="323"/>
      <c r="CZ170" s="323"/>
      <c r="EK170" s="1070"/>
      <c r="EL170" s="1070"/>
      <c r="EM170" s="1070"/>
      <c r="EN170" s="1070"/>
      <c r="EO170" s="1070"/>
      <c r="EP170" s="1070"/>
      <c r="EQ170" s="1070"/>
    </row>
    <row r="171" spans="2:222" s="198" customFormat="1" ht="26" hidden="1" customHeight="1" outlineLevel="1" x14ac:dyDescent="0.35">
      <c r="B171" s="199"/>
      <c r="C171" s="200" t="s">
        <v>93</v>
      </c>
      <c r="D171" s="915" t="s">
        <v>811</v>
      </c>
      <c r="E171" s="915"/>
      <c r="F171" s="347" t="s">
        <v>94</v>
      </c>
      <c r="G171" s="348" t="s">
        <v>95</v>
      </c>
      <c r="H171" s="349" t="s">
        <v>96</v>
      </c>
      <c r="I171" s="915" t="s">
        <v>811</v>
      </c>
      <c r="J171" s="915"/>
      <c r="K171" s="510" t="s">
        <v>94</v>
      </c>
      <c r="L171" s="511" t="s">
        <v>95</v>
      </c>
      <c r="M171" s="512" t="s">
        <v>96</v>
      </c>
      <c r="N171" s="201" t="s">
        <v>97</v>
      </c>
      <c r="O171" s="201" t="s">
        <v>97</v>
      </c>
      <c r="P171" s="201" t="s">
        <v>97</v>
      </c>
      <c r="Q171" s="358" t="s">
        <v>97</v>
      </c>
      <c r="R171" s="202"/>
      <c r="S171" s="203"/>
      <c r="T171" s="204"/>
      <c r="U171" s="204"/>
      <c r="V171" s="325"/>
      <c r="W171" s="323">
        <f>SUM(W172:W175)</f>
        <v>0</v>
      </c>
      <c r="X171" s="323">
        <f>SUM(X172:X175)</f>
        <v>0</v>
      </c>
      <c r="Y171" s="323"/>
      <c r="Z171" s="323"/>
      <c r="AA171" s="323"/>
      <c r="AB171" s="323" t="s">
        <v>111</v>
      </c>
      <c r="AC171" s="323" t="s">
        <v>98</v>
      </c>
      <c r="AD171" s="323" t="s">
        <v>99</v>
      </c>
      <c r="AE171" s="323" t="s">
        <v>100</v>
      </c>
      <c r="AF171" s="323"/>
      <c r="AG171" s="323"/>
      <c r="AH171" s="323"/>
      <c r="AI171" s="323" t="str">
        <f>'LCA data'!$B$93</f>
        <v>Tagkonstruktion</v>
      </c>
      <c r="AJ171" s="323">
        <f>VLOOKUP(E174,Pris.tag.konstruktion[],2,0)*C174</f>
        <v>0</v>
      </c>
      <c r="AK171" s="323">
        <f>VLOOKUP(J174,Pris.tag.konstruktion[],2,0)*C174</f>
        <v>0</v>
      </c>
      <c r="AL171" s="323" t="str">
        <f>IFERROR(AJ171+VLOOKUP(B171&amp;"_"&amp;J171,'LCA data'!$B$7:$X$238,2,FALSE),"")</f>
        <v/>
      </c>
      <c r="AM171" s="323" t="str">
        <f>IFERROR(IF(M171-1&gt;0,VLOOKUP(B171&amp;"_"&amp;J171,'LCA data'!$B$7:$X$200,19,FALSE)*(K171*10^3)*C171,""),"")</f>
        <v/>
      </c>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3"/>
      <c r="BR171" s="323"/>
      <c r="BS171" s="323"/>
      <c r="BT171" s="323"/>
      <c r="BU171" s="323"/>
      <c r="BV171" s="323"/>
      <c r="BW171" s="323"/>
      <c r="BX171" s="323"/>
      <c r="BY171" s="323"/>
      <c r="BZ171" s="323"/>
      <c r="CA171" s="323"/>
      <c r="CB171" s="323"/>
      <c r="CC171" s="323"/>
      <c r="CD171" s="323"/>
      <c r="CE171" s="323"/>
      <c r="CF171" s="323"/>
      <c r="CG171" s="323"/>
      <c r="CH171" s="323"/>
      <c r="CI171" s="323"/>
      <c r="CJ171" s="323"/>
      <c r="CK171" s="323"/>
      <c r="CL171" s="323"/>
      <c r="CM171" s="323"/>
      <c r="CN171" s="323"/>
      <c r="CO171" s="323"/>
      <c r="CP171" s="435"/>
      <c r="CQ171" s="433"/>
      <c r="CR171" s="323"/>
      <c r="CS171" s="323"/>
      <c r="CT171" s="323"/>
      <c r="CU171" s="323"/>
      <c r="CV171" s="323"/>
      <c r="CW171" s="323"/>
      <c r="CX171" s="323"/>
      <c r="CY171" s="323"/>
      <c r="CZ171" s="323"/>
      <c r="DA171" s="325"/>
      <c r="DB171" s="325"/>
      <c r="DC171" s="325"/>
      <c r="DD171" s="325"/>
      <c r="DE171" s="325"/>
      <c r="DF171" s="325"/>
      <c r="DG171" s="325"/>
      <c r="DH171" s="325"/>
      <c r="DI171" s="325"/>
      <c r="DJ171" s="325"/>
      <c r="DK171" s="325"/>
      <c r="DL171" s="325"/>
      <c r="DM171" s="325"/>
      <c r="DN171" s="325"/>
      <c r="DO171" s="325"/>
      <c r="DP171" s="325"/>
      <c r="DQ171" s="325"/>
      <c r="DR171" s="325"/>
      <c r="DS171" s="325"/>
      <c r="DT171" s="325"/>
      <c r="DU171" s="325"/>
      <c r="DV171" s="325"/>
      <c r="DW171" s="325"/>
      <c r="DX171" s="325"/>
      <c r="DY171" s="325"/>
      <c r="DZ171" s="325"/>
      <c r="EA171" s="325"/>
      <c r="EB171" s="325"/>
      <c r="EC171" s="325"/>
      <c r="ED171" s="325"/>
      <c r="EE171" s="325"/>
      <c r="EF171" s="325"/>
      <c r="EG171" s="325"/>
      <c r="EH171" s="325"/>
      <c r="EI171" s="325"/>
      <c r="EJ171" s="325"/>
      <c r="EK171" s="1072"/>
      <c r="EL171" s="1072"/>
      <c r="EM171" s="1072"/>
      <c r="EN171" s="1072"/>
      <c r="EO171" s="1072"/>
      <c r="EP171" s="1072"/>
      <c r="EQ171" s="1072"/>
      <c r="ER171" s="325"/>
      <c r="ES171" s="325"/>
      <c r="ET171" s="325"/>
      <c r="EU171" s="325"/>
      <c r="EV171" s="325"/>
      <c r="EW171" s="325"/>
      <c r="EX171" s="325"/>
      <c r="EY171" s="325"/>
      <c r="EZ171" s="325"/>
      <c r="FA171" s="325"/>
      <c r="FB171" s="325"/>
      <c r="FC171" s="325"/>
      <c r="FD171" s="325"/>
      <c r="FE171" s="325"/>
      <c r="FF171" s="325"/>
      <c r="FG171" s="325"/>
      <c r="FH171" s="325"/>
      <c r="FI171" s="325"/>
      <c r="FJ171" s="325"/>
      <c r="FK171" s="325"/>
      <c r="FL171" s="325"/>
      <c r="FM171" s="325"/>
      <c r="FN171" s="325"/>
      <c r="FO171" s="325"/>
      <c r="FP171" s="325"/>
      <c r="FQ171" s="325"/>
      <c r="FR171" s="325"/>
      <c r="FS171" s="325"/>
      <c r="FT171" s="325"/>
      <c r="FU171" s="325"/>
      <c r="FV171" s="325"/>
      <c r="FW171" s="325"/>
      <c r="FX171" s="325"/>
      <c r="FY171" s="325"/>
      <c r="FZ171" s="325"/>
      <c r="GA171" s="325"/>
      <c r="GB171" s="325"/>
      <c r="GC171" s="325"/>
      <c r="GD171" s="325"/>
      <c r="GE171" s="325"/>
      <c r="GF171" s="325"/>
      <c r="GG171" s="325"/>
      <c r="GH171" s="325"/>
      <c r="GI171" s="325"/>
      <c r="GJ171" s="325"/>
      <c r="GK171" s="325"/>
      <c r="GL171" s="325"/>
      <c r="GM171" s="325"/>
      <c r="GN171" s="325"/>
      <c r="GO171" s="325"/>
      <c r="GP171" s="325"/>
      <c r="GQ171" s="325"/>
      <c r="GR171" s="325"/>
      <c r="GS171" s="325"/>
      <c r="GT171" s="325"/>
      <c r="GU171" s="325"/>
      <c r="GV171" s="325"/>
      <c r="GW171" s="325"/>
      <c r="GX171" s="325"/>
      <c r="GY171" s="325"/>
      <c r="GZ171" s="325"/>
      <c r="HA171" s="325"/>
      <c r="HB171" s="325"/>
      <c r="HC171" s="325"/>
      <c r="HD171" s="325"/>
      <c r="HE171" s="325"/>
      <c r="HF171" s="325"/>
      <c r="HG171" s="325"/>
      <c r="HH171" s="325"/>
      <c r="HI171" s="325"/>
      <c r="HJ171" s="325"/>
      <c r="HK171" s="325"/>
      <c r="HL171" s="325"/>
      <c r="HM171" s="325"/>
      <c r="HN171" s="325"/>
    </row>
    <row r="172" spans="2:222" ht="40.4" hidden="1" customHeight="1" outlineLevel="1" thickBot="1" x14ac:dyDescent="0.4">
      <c r="B172" s="363" t="str">
        <f>'LCA data'!$B$77</f>
        <v>Tagbelægning</v>
      </c>
      <c r="C172" s="469">
        <f>$C$170*$C$44</f>
        <v>0</v>
      </c>
      <c r="D172" s="15" t="s">
        <v>103</v>
      </c>
      <c r="E172" s="342" t="str">
        <f>IF($D$171=$D$82,D172,VLOOKUP(B172,Auto_Tag[],VLOOKUP($D$171,Type_Tung_Middel_Let[],2,0),0))</f>
        <v>Angiv ikke</v>
      </c>
      <c r="F172" s="356">
        <f>(VLOOKUP(E172,Pris.tag.beklædning[],4,0))/1000</f>
        <v>0</v>
      </c>
      <c r="G172" s="350"/>
      <c r="H172" s="351" t="str">
        <f>IFERROR(IF(VLOOKUP(B172&amp;"_"&amp;E172,'LCA data'!$B$7:$X$200,2,FALSE)&lt;$Y$24,1,0)+IF(VLOOKUP(B172&amp;"_"&amp;E172,'LCA data'!$B$7:$X$200,2,FALSE)*2&lt;$Y$24,1,0),"")</f>
        <v/>
      </c>
      <c r="I172" s="15" t="s">
        <v>103</v>
      </c>
      <c r="J172" s="342" t="str">
        <f>IF($I$171=$D$82,I172,VLOOKUP(B172,Auto_Tag[],VLOOKUP($I$171,Type_Tung_Middel_Let[],2,0),0))</f>
        <v>Angiv ikke</v>
      </c>
      <c r="K172" s="513">
        <f>(VLOOKUP(J172,Pris.tag.beklædning[],4,0))/1000</f>
        <v>0</v>
      </c>
      <c r="L172" s="514"/>
      <c r="M172" s="515" t="str">
        <f>IFERROR(IF(VLOOKUP(B172&amp;"_"&amp;J172,'LCA data'!$B$7:$X$200,2,FALSE)&lt;$Y$24,1,0)+IF(VLOOKUP(B172&amp;"_"&amp;J172,'LCA data'!$B$7:$X$200,2,FALSE)*2&lt;$Y$24,1,0),"")</f>
        <v/>
      </c>
      <c r="N172" s="364">
        <f>W172/1000</f>
        <v>0</v>
      </c>
      <c r="O172" s="880">
        <f>SUM(N172:N175)</f>
        <v>0</v>
      </c>
      <c r="P172" s="365">
        <f>X172/1000</f>
        <v>0</v>
      </c>
      <c r="Q172" s="888">
        <f>SUM(P172:P175)</f>
        <v>0</v>
      </c>
      <c r="R172" s="192"/>
      <c r="S172" s="196"/>
      <c r="V172" s="251"/>
      <c r="W172" s="323">
        <f>IF(E172="Angiv ikke",0,((1+H172)*VLOOKUP(B172&amp;"_"&amp;E172,'LCA data'!$B$7:$X$360,19,FALSE)*(F172*10^3)*C172))</f>
        <v>0</v>
      </c>
      <c r="X172" s="323">
        <f>IF(J172="Angiv ikke",0,((1+M172)*VLOOKUP(B172&amp;"_"&amp;J172,'LCA data'!$B$7:$X$360,19,FALSE)*(K172*10^3)*C172))</f>
        <v>0</v>
      </c>
      <c r="Y172" s="323"/>
      <c r="Z172" s="323"/>
      <c r="AA172" s="323" t="s">
        <v>4</v>
      </c>
      <c r="AB172" s="323">
        <f>AF172/$J$21/$Y$24*1000</f>
        <v>0</v>
      </c>
      <c r="AC172" s="323">
        <f>Varmetab!H75</f>
        <v>0</v>
      </c>
      <c r="AD172" s="323">
        <f>AB172+AC172</f>
        <v>0</v>
      </c>
      <c r="AE172" s="323" t="s">
        <v>4</v>
      </c>
      <c r="AF172" s="323">
        <f>W171/1000</f>
        <v>0</v>
      </c>
      <c r="AG172" s="323"/>
      <c r="AH172" s="323"/>
      <c r="AI172" s="323" t="str">
        <f>'LCA data'!$B$105</f>
        <v>Loftsbeklædning</v>
      </c>
      <c r="AJ172" s="323">
        <f>VLOOKUP(E175,Pris.loft.beklædning[],2,0)*C175</f>
        <v>0</v>
      </c>
      <c r="AK172" s="323">
        <f>VLOOKUP(J175,Pris.loft.beklædning[],2,0)*C175</f>
        <v>0</v>
      </c>
      <c r="AL172" s="323" t="str">
        <f>IFERROR(AJ172+VLOOKUP(B172&amp;"_"&amp;J172,'LCA data'!$B$7:$X$238,2,FALSE),"")</f>
        <v/>
      </c>
      <c r="AM172" s="323" t="str">
        <f>IFERROR(IF(M172-1&gt;0,VLOOKUP(B172&amp;"_"&amp;J172,'LCA data'!$B$7:$X$200,19,FALSE)*(K172*10^3)*C172,""),"")</f>
        <v/>
      </c>
      <c r="AN172" s="323">
        <f>IF(E172="Angiv ikke",0,((1+H172)*VLOOKUP(B172&amp;"_"&amp;E172,'LCA data'!$B$7:$X$360,20,FALSE)*(F172*10^3)*C172))</f>
        <v>0</v>
      </c>
      <c r="AO172" s="323">
        <f>IF(J172="Angiv ikke",0,((1+M172)*VLOOKUP(B172&amp;"_"&amp;J172,'LCA data'!$B$7:$X$360,20,FALSE)*(K172*10^3)*C172))</f>
        <v>0</v>
      </c>
      <c r="AP172" s="323"/>
      <c r="AQ172" s="323"/>
      <c r="AR172" s="323">
        <f>IF(E172="Angiv ikke",0,((1+H172)*VLOOKUP(B172&amp;"_"&amp;E172,'LCA data'!$B$7:$AA$360,26,FALSE)*(F172*10^3)*C172))</f>
        <v>0</v>
      </c>
      <c r="AS172" s="323">
        <f>IF(J172="Angiv ikke",0,((1+M172)*VLOOKUP(B172&amp;"_"&amp;J172,'LCA data'!$B$7:$AA$360,26,FALSE)*(K172*10^3)*C172))</f>
        <v>0</v>
      </c>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A172" s="323"/>
      <c r="CB172" s="323"/>
      <c r="CC172" s="323"/>
      <c r="CD172" s="323"/>
      <c r="CE172" s="323"/>
      <c r="CF172" s="323"/>
      <c r="CG172" s="323"/>
      <c r="CH172" s="323"/>
      <c r="CI172" s="323"/>
      <c r="CJ172" s="323"/>
      <c r="CK172" s="323"/>
      <c r="CL172" s="323"/>
      <c r="CM172" s="323"/>
      <c r="CN172" s="323"/>
      <c r="CO172" s="323"/>
      <c r="CP172" s="442"/>
      <c r="CQ172" s="438"/>
      <c r="CR172" s="323"/>
      <c r="CS172" s="323"/>
      <c r="CT172" s="323"/>
      <c r="CU172" s="323"/>
      <c r="CV172" s="323"/>
      <c r="CW172" s="323"/>
      <c r="CX172" s="323"/>
      <c r="CY172" s="323"/>
      <c r="CZ172" s="323"/>
      <c r="EK172" s="1070"/>
      <c r="EL172" s="1070"/>
      <c r="EM172" s="1070"/>
      <c r="EN172" s="1070"/>
      <c r="EO172" s="1070"/>
      <c r="EP172" s="1070"/>
      <c r="EQ172" s="1070"/>
    </row>
    <row r="173" spans="2:222" ht="40.4" hidden="1" customHeight="1" outlineLevel="1" x14ac:dyDescent="0.35">
      <c r="B173" s="208" t="str">
        <f>'LCA data'!B$32</f>
        <v>Isolering</v>
      </c>
      <c r="C173" s="466">
        <f t="shared" ref="C173:C175" si="15">$C$170*$C$44</f>
        <v>0</v>
      </c>
      <c r="D173" s="168" t="s">
        <v>103</v>
      </c>
      <c r="E173" s="342" t="str">
        <f>IF($D$171=$D$82,D173,VLOOKUP(B173,Auto_Tag[],VLOOKUP($D$171,Type_Tung_Middel_Let[],2,0),0))</f>
        <v>Angiv ikke</v>
      </c>
      <c r="F173" s="11">
        <v>0.4</v>
      </c>
      <c r="G173" s="473" t="str">
        <f>VLOOKUP(E173,Isoleringsmateriale[],2,0)</f>
        <v>?</v>
      </c>
      <c r="H173" s="351" t="str">
        <f>IFERROR(IF(VLOOKUP(B173&amp;"_"&amp;E173,'LCA data'!$B$7:$X$200,2,FALSE)&lt;$Y$24,1,0)+IF(VLOOKUP(B173&amp;"_"&amp;E173,'LCA data'!$B$7:$X$200,2,FALSE)*2&lt;$Y$24,1,0),"")</f>
        <v/>
      </c>
      <c r="I173" s="168" t="s">
        <v>103</v>
      </c>
      <c r="J173" s="342" t="str">
        <f>IF($I$171=$D$82,I173,VLOOKUP(B173,Auto_Tag[],VLOOKUP($I$171,Type_Tung_Middel_Let[],2,0),0))</f>
        <v>Angiv ikke</v>
      </c>
      <c r="K173" s="11">
        <v>0.4</v>
      </c>
      <c r="L173" s="473" t="str">
        <f>VLOOKUP(J173,Isoleringsmateriale[],2,0)</f>
        <v>?</v>
      </c>
      <c r="M173" s="515" t="str">
        <f>IFERROR(IF(VLOOKUP(B173&amp;"_"&amp;J173,'LCA data'!$B$7:$X$200,2,FALSE)&lt;$Y$24,1,0)+IF(VLOOKUP(B173&amp;"_"&amp;J173,'LCA data'!$B$7:$X$200,2,FALSE)*2&lt;$Y$24,1,0),"")</f>
        <v/>
      </c>
      <c r="N173" s="206">
        <f>W173/1000</f>
        <v>0</v>
      </c>
      <c r="O173" s="878"/>
      <c r="P173" s="207">
        <f>X173/1000</f>
        <v>0</v>
      </c>
      <c r="Q173" s="889"/>
      <c r="R173" s="192"/>
      <c r="S173" s="196"/>
      <c r="V173" s="251"/>
      <c r="W173" s="323">
        <f>IF(E173="Angiv ikke",0,((1+H173)*VLOOKUP(B173&amp;"_"&amp;E173,'LCA data'!$B$7:$X$360,19,FALSE)*(F173*10^3)*C173))</f>
        <v>0</v>
      </c>
      <c r="X173" s="323">
        <f>IF(J173="Angiv ikke",0,((1+M173)*VLOOKUP(B173&amp;"_"&amp;J173,'LCA data'!$B$7:$X$360,19,FALSE)*(K173*10^3)*C173))</f>
        <v>0</v>
      </c>
      <c r="Y173" s="323">
        <f>IF(G173="_",0,AC172*$J$21*$Y$24)</f>
        <v>0</v>
      </c>
      <c r="Z173" s="323">
        <f>IF(L173="_",0,AC173*$J$21*$Y$24)</f>
        <v>0</v>
      </c>
      <c r="AA173" s="323" t="s">
        <v>5</v>
      </c>
      <c r="AB173" s="323">
        <f>AG173/$J$21/$Y$24*1000</f>
        <v>0</v>
      </c>
      <c r="AC173" s="323">
        <f>Varmetab!I75</f>
        <v>0</v>
      </c>
      <c r="AD173" s="323">
        <f>AB173+AC173</f>
        <v>0</v>
      </c>
      <c r="AE173" s="323" t="s">
        <v>5</v>
      </c>
      <c r="AF173" s="323"/>
      <c r="AG173" s="323">
        <f>X171/1000</f>
        <v>0</v>
      </c>
      <c r="AH173" s="323"/>
      <c r="AI173" s="323" t="s">
        <v>743</v>
      </c>
      <c r="AJ173" s="323">
        <f>SUM(AJ169:AJ172)</f>
        <v>0</v>
      </c>
      <c r="AK173" s="323">
        <f>SUM(AK169:AK172)</f>
        <v>0</v>
      </c>
      <c r="AL173" s="323" t="str">
        <f>IFERROR(AJ173+VLOOKUP(B173&amp;"_"&amp;J173,'LCA data'!$B$7:$X$238,2,FALSE),"")</f>
        <v/>
      </c>
      <c r="AM173" s="323" t="str">
        <f>IFERROR(IF(M173-1&gt;0,VLOOKUP(B173&amp;"_"&amp;J173,'LCA data'!$B$7:$X$200,19,FALSE)*(K173*10^3)*C173,""),"")</f>
        <v/>
      </c>
      <c r="AN173" s="323">
        <f>IF(E173="Angiv ikke",0,((1+H173)*VLOOKUP(B173&amp;"_"&amp;E173,'LCA data'!$B$7:$X$360,20,FALSE)*(F173*10^3)*C173))</f>
        <v>0</v>
      </c>
      <c r="AO173" s="323">
        <f>IF(J173="Angiv ikke",0,((1+M173)*VLOOKUP(B173&amp;"_"&amp;J173,'LCA data'!$B$7:$X$360,20,FALSE)*(K173*10^3)*C173))</f>
        <v>0</v>
      </c>
      <c r="AP173" s="323"/>
      <c r="AQ173" s="323"/>
      <c r="AR173" s="323">
        <f>IF(E173="Angiv ikke",0,((1+H173)*VLOOKUP(B173&amp;"_"&amp;E173,'LCA data'!$B$7:$AA$360,26,FALSE)*(F173*10^3)*C173))</f>
        <v>0</v>
      </c>
      <c r="AS173" s="323">
        <f>IF(J173="Angiv ikke",0,((1+M173)*VLOOKUP(B173&amp;"_"&amp;J173,'LCA data'!$B$7:$AA$360,26,FALSE)*(K173*10^3)*C173))</f>
        <v>0</v>
      </c>
      <c r="AT173" s="323"/>
      <c r="AU173" s="323"/>
      <c r="AV173" s="323"/>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3"/>
      <c r="BR173" s="323"/>
      <c r="BS173" s="323"/>
      <c r="BT173" s="323"/>
      <c r="BU173" s="323"/>
      <c r="BV173" s="323"/>
      <c r="BW173" s="323"/>
      <c r="BX173" s="323"/>
      <c r="BY173" s="323"/>
      <c r="BZ173" s="323"/>
      <c r="CA173" s="323"/>
      <c r="CB173" s="323"/>
      <c r="CC173" s="323"/>
      <c r="CD173" s="323"/>
      <c r="CE173" s="323"/>
      <c r="CF173" s="323"/>
      <c r="CG173" s="323"/>
      <c r="CH173" s="323"/>
      <c r="CI173" s="323"/>
      <c r="CJ173" s="323"/>
      <c r="CK173" s="323"/>
      <c r="CL173" s="323"/>
      <c r="CM173" s="323"/>
      <c r="CN173" s="323"/>
      <c r="CO173" s="323"/>
      <c r="CP173" s="439"/>
      <c r="CQ173" s="440"/>
      <c r="CR173" s="323"/>
      <c r="CS173" s="323"/>
      <c r="CT173" s="323"/>
      <c r="CU173" s="323"/>
      <c r="CV173" s="323"/>
      <c r="CW173" s="323"/>
      <c r="CX173" s="323"/>
      <c r="CY173" s="323"/>
      <c r="CZ173" s="323"/>
      <c r="EK173" s="1070"/>
      <c r="EL173" s="1070"/>
      <c r="EM173" s="1070"/>
      <c r="EN173" s="1070"/>
      <c r="EO173" s="1070"/>
      <c r="EP173" s="1070"/>
      <c r="EQ173" s="1070"/>
    </row>
    <row r="174" spans="2:222" ht="40.4" hidden="1" customHeight="1" outlineLevel="1" thickBot="1" x14ac:dyDescent="0.4">
      <c r="B174" s="205" t="str">
        <f>'LCA data'!$B$93</f>
        <v>Tagkonstruktion</v>
      </c>
      <c r="C174" s="466">
        <f t="shared" si="15"/>
        <v>0</v>
      </c>
      <c r="D174" s="169" t="s">
        <v>103</v>
      </c>
      <c r="E174" s="342" t="str">
        <f>IF($D$171=$D$82,D174,VLOOKUP(B174,Auto_Tag[],VLOOKUP($D$171,Type_Tung_Middel_Let[],2,0),0))</f>
        <v>Angiv ikke</v>
      </c>
      <c r="F174" s="172">
        <f>IF(E174="Betonhuldæk",(VLOOKUP(E174,Pris.tag.konstruktion[],4,0)/1000),F173)</f>
        <v>0.4</v>
      </c>
      <c r="G174" s="350"/>
      <c r="H174" s="351" t="str">
        <f>IFERROR(IF(VLOOKUP(B174&amp;"_"&amp;E174,'LCA data'!$B$7:$X$200,2,FALSE)&lt;$Y$24,1,0)+IF(VLOOKUP(B174&amp;"_"&amp;E174,'LCA data'!$B$7:$X$200,2,FALSE)*2&lt;$Y$24,1,0),"")</f>
        <v/>
      </c>
      <c r="I174" s="169" t="s">
        <v>103</v>
      </c>
      <c r="J174" s="342" t="str">
        <f>IF($I$171=$D$82,I174,VLOOKUP(B174,Auto_Tag[],VLOOKUP($I$171,Type_Tung_Middel_Let[],2,0),0))</f>
        <v>Angiv ikke</v>
      </c>
      <c r="K174" s="172">
        <f>IF(OR(J174="Betonhuldæk",J174="CLT"),(VLOOKUP(J174,Pris.tag.konstruktion[],4,0)/1000),K173)</f>
        <v>0.4</v>
      </c>
      <c r="L174" s="514"/>
      <c r="M174" s="515" t="str">
        <f>IFERROR(IF(VLOOKUP(B174&amp;"_"&amp;J174,'LCA data'!$B$7:$X$200,2,FALSE)&lt;$Y$24,1,0)+IF(VLOOKUP(B174&amp;"_"&amp;J174,'LCA data'!$B$7:$X$200,2,FALSE)*2&lt;$Y$24,1,0),"")</f>
        <v/>
      </c>
      <c r="N174" s="206">
        <f>W174/1000</f>
        <v>0</v>
      </c>
      <c r="O174" s="878"/>
      <c r="P174" s="207">
        <f>X174/1000</f>
        <v>0</v>
      </c>
      <c r="Q174" s="889"/>
      <c r="R174" s="192"/>
      <c r="S174" s="196"/>
      <c r="V174" s="251"/>
      <c r="W174" s="323">
        <f>IF(E174="Angiv ikke",0,((1+H174)*VLOOKUP(B174&amp;"_"&amp;E174,'LCA data'!$B$7:$X$360,19,FALSE)*(F174*10^3)*C174))</f>
        <v>0</v>
      </c>
      <c r="X174" s="323">
        <f>IF(J174="Angiv ikke",0,((1+M174)*VLOOKUP(B174&amp;"_"&amp;J174,'LCA data'!$B$7:$X$360,19,FALSE)*(K174*10^3)*C174))</f>
        <v>0</v>
      </c>
      <c r="Y174" s="323"/>
      <c r="Z174" s="323"/>
      <c r="AA174" s="323"/>
      <c r="AB174" s="323"/>
      <c r="AC174" s="323"/>
      <c r="AD174" s="323"/>
      <c r="AE174" s="323"/>
      <c r="AF174" s="323"/>
      <c r="AG174" s="323"/>
      <c r="AH174" s="323"/>
      <c r="AI174" s="323"/>
      <c r="AJ174" s="323"/>
      <c r="AK174" s="323"/>
      <c r="AL174" s="323" t="str">
        <f>IFERROR(AJ174+VLOOKUP(B174&amp;"_"&amp;J174,'LCA data'!$B$7:$X$238,2,FALSE),"")</f>
        <v/>
      </c>
      <c r="AM174" s="323" t="str">
        <f>IFERROR(IF(M174-1&gt;0,VLOOKUP(B174&amp;"_"&amp;J174,'LCA data'!$B$7:$X$200,19,FALSE)*(K174*10^3)*C174,""),"")</f>
        <v/>
      </c>
      <c r="AN174" s="323">
        <f>IF(E174="Angiv ikke",0,((1+H174)*VLOOKUP(B174&amp;"_"&amp;E174,'LCA data'!$B$7:$X$360,20,FALSE)*(F174*10^3)*C174))</f>
        <v>0</v>
      </c>
      <c r="AO174" s="323">
        <f>IF(J174="Angiv ikke",0,((1+M174)*VLOOKUP(B174&amp;"_"&amp;J174,'LCA data'!$B$7:$X$360,20,FALSE)*(K174*10^3)*C174))</f>
        <v>0</v>
      </c>
      <c r="AP174" s="323"/>
      <c r="AQ174" s="323"/>
      <c r="AR174" s="323">
        <f>IF(E174="Angiv ikke",0,((1+H174)*VLOOKUP(B174&amp;"_"&amp;E174,'LCA data'!$B$7:$AA$360,26,FALSE)*(F174*10^3)*C174))</f>
        <v>0</v>
      </c>
      <c r="AS174" s="323">
        <f>IF(J174="Angiv ikke",0,((1+M174)*VLOOKUP(B174&amp;"_"&amp;J174,'LCA data'!$B$7:$AA$360,26,FALSE)*(K174*10^3)*C174))</f>
        <v>0</v>
      </c>
      <c r="AT174" s="323"/>
      <c r="AU174" s="323"/>
      <c r="AV174" s="323"/>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3"/>
      <c r="BR174" s="323"/>
      <c r="BS174" s="323"/>
      <c r="BT174" s="323"/>
      <c r="BU174" s="323"/>
      <c r="BV174" s="323"/>
      <c r="BW174" s="323"/>
      <c r="BX174" s="323"/>
      <c r="BY174" s="323"/>
      <c r="BZ174" s="323"/>
      <c r="CA174" s="323"/>
      <c r="CB174" s="323"/>
      <c r="CC174" s="323"/>
      <c r="CD174" s="323"/>
      <c r="CE174" s="323"/>
      <c r="CF174" s="323"/>
      <c r="CG174" s="323"/>
      <c r="CH174" s="323"/>
      <c r="CI174" s="323"/>
      <c r="CJ174" s="323"/>
      <c r="CK174" s="323"/>
      <c r="CL174" s="323"/>
      <c r="CM174" s="323"/>
      <c r="CN174" s="323"/>
      <c r="CO174" s="323"/>
      <c r="CP174" s="439"/>
      <c r="CQ174" s="440"/>
      <c r="CR174" s="323"/>
      <c r="CS174" s="323"/>
      <c r="CT174" s="323"/>
      <c r="CU174" s="323"/>
      <c r="CV174" s="323"/>
      <c r="CW174" s="323"/>
      <c r="CX174" s="323"/>
      <c r="CY174" s="323"/>
      <c r="CZ174" s="323"/>
      <c r="EK174" s="1070"/>
      <c r="EL174" s="1070"/>
      <c r="EM174" s="1070"/>
      <c r="EN174" s="1070"/>
      <c r="EO174" s="1070"/>
      <c r="EP174" s="1070"/>
      <c r="EQ174" s="1070"/>
    </row>
    <row r="175" spans="2:222" ht="40.4" hidden="1" customHeight="1" outlineLevel="1" thickBot="1" x14ac:dyDescent="0.4">
      <c r="B175" s="209" t="str">
        <f>'LCA data'!$B$105</f>
        <v>Loftsbeklædning</v>
      </c>
      <c r="C175" s="667">
        <f t="shared" si="15"/>
        <v>0</v>
      </c>
      <c r="D175" s="171" t="s">
        <v>103</v>
      </c>
      <c r="E175" s="382" t="str">
        <f>IF($D$171=$D$82,D175,VLOOKUP(B175,Auto_Tag[],VLOOKUP($D$171,Type_Tung_Middel_Let[],2,0),0))</f>
        <v>Angiv ikke</v>
      </c>
      <c r="F175" s="474">
        <f>(VLOOKUP(E175,Pris.loft.beklædning[],4,0))/1000</f>
        <v>0</v>
      </c>
      <c r="G175" s="354"/>
      <c r="H175" s="355" t="str">
        <f>IFERROR(IF(VLOOKUP(B175&amp;"_"&amp;E175,'LCA data'!$B$7:$X$200,2,FALSE)&lt;$Y$24,1,0)+IF(VLOOKUP(B175&amp;"_"&amp;E175,'LCA data'!$B$7:$X$200,2,FALSE)*2&lt;$Y$24,1,0),"")</f>
        <v/>
      </c>
      <c r="I175" s="171" t="s">
        <v>103</v>
      </c>
      <c r="J175" s="382" t="str">
        <f>IF($I$171=$D$82,I175,VLOOKUP(B175,Auto_Tag[],VLOOKUP($I$171,Type_Tung_Middel_Let[],2,0),0))</f>
        <v>Angiv ikke</v>
      </c>
      <c r="K175" s="522">
        <f>(VLOOKUP(J175,Pris.loft.beklædning[],4,0))/1000</f>
        <v>0</v>
      </c>
      <c r="L175" s="519"/>
      <c r="M175" s="520" t="str">
        <f>IFERROR(IF(VLOOKUP(B175&amp;"_"&amp;J175,'LCA data'!$B$7:$X$200,2,FALSE)&lt;$Y$24,1,0)+IF(VLOOKUP(B175&amp;"_"&amp;J175,'LCA data'!$B$7:$X$200,2,FALSE)*2&lt;$Y$24,1,0),"")</f>
        <v/>
      </c>
      <c r="N175" s="210">
        <f>W175/1000</f>
        <v>0</v>
      </c>
      <c r="O175" s="879"/>
      <c r="P175" s="211">
        <f>X175/1000</f>
        <v>0</v>
      </c>
      <c r="Q175" s="890"/>
      <c r="R175" s="212"/>
      <c r="S175" s="213"/>
      <c r="V175" s="251"/>
      <c r="W175" s="323">
        <f>IF(E175="Angiv ikke",0,((1+H175)*VLOOKUP(B175&amp;"_"&amp;E175,'LCA data'!$B$7:$X$360,19,FALSE)*(F175*10^3)*C175))</f>
        <v>0</v>
      </c>
      <c r="X175" s="323">
        <f>IF(J175="Angiv ikke",0,((1+M175)*VLOOKUP(B175&amp;"_"&amp;J175,'LCA data'!$B$7:$X$360,19,FALSE)*(K175*10^3)*C175))</f>
        <v>0</v>
      </c>
      <c r="Y175" s="323"/>
      <c r="Z175" s="323"/>
      <c r="AA175" s="323"/>
      <c r="AB175" s="323"/>
      <c r="AC175" s="323"/>
      <c r="AD175" s="323"/>
      <c r="AE175" s="323"/>
      <c r="AF175" s="323"/>
      <c r="AG175" s="323"/>
      <c r="AH175" s="323"/>
      <c r="AI175" s="323" t="str">
        <f>IFERROR(VLOOKUP(B175&amp;"_"&amp;J175,'LCA data'!$B$7:$X$200,19,FALSE)*(K175*10^3)*C175,"")</f>
        <v/>
      </c>
      <c r="AJ175" s="323" t="str">
        <f>IFERROR(VLOOKUP($B175&amp;"_"&amp;J175,'LCA data'!$B$7:$X$238,2,FALSE),"")</f>
        <v/>
      </c>
      <c r="AK175" s="323" t="str">
        <f>IFERROR(IF(M175&gt;0,VLOOKUP(B175&amp;"_"&amp;J175,'LCA data'!$B$7:$X$200,19,FALSE)*(K175*10^3)*C175,""),"")</f>
        <v/>
      </c>
      <c r="AL175" s="323" t="str">
        <f>IFERROR(AJ175+VLOOKUP(B175&amp;"_"&amp;J175,'LCA data'!$B$7:$X$238,2,FALSE),"")</f>
        <v/>
      </c>
      <c r="AM175" s="323" t="str">
        <f>IFERROR(IF(M175-1&gt;0,VLOOKUP(B175&amp;"_"&amp;J175,'LCA data'!$B$7:$X$200,19,FALSE)*(K175*10^3)*C175,""),"")</f>
        <v/>
      </c>
      <c r="AN175" s="323">
        <f>IF(E175="Angiv ikke",0,((1+H175)*VLOOKUP(B175&amp;"_"&amp;E175,'LCA data'!$B$7:$X$360,20,FALSE)*(F175*10^3)*C175))</f>
        <v>0</v>
      </c>
      <c r="AO175" s="323">
        <f>IF(J175="Angiv ikke",0,((1+M175)*VLOOKUP(B175&amp;"_"&amp;J175,'LCA data'!$B$7:$X$360,20,FALSE)*(K175*10^3)*C175))</f>
        <v>0</v>
      </c>
      <c r="AP175" s="323"/>
      <c r="AQ175" s="323"/>
      <c r="AR175" s="323">
        <f>IF(E175="Angiv ikke",0,((1+H175)*VLOOKUP(B175&amp;"_"&amp;E175,'LCA data'!$B$7:$AA$360,26,FALSE)*(F175*10^3)*C175))</f>
        <v>0</v>
      </c>
      <c r="AS175" s="323">
        <f>IF(J175="Angiv ikke",0,((1+M175)*VLOOKUP(B175&amp;"_"&amp;J175,'LCA data'!$B$7:$AA$360,26,FALSE)*(K175*10^3)*C175))</f>
        <v>0</v>
      </c>
      <c r="AT175" s="323"/>
      <c r="AU175" s="323"/>
      <c r="AV175" s="323"/>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3"/>
      <c r="BR175" s="323"/>
      <c r="BS175" s="323"/>
      <c r="BT175" s="323"/>
      <c r="BU175" s="323"/>
      <c r="BV175" s="323"/>
      <c r="BW175" s="323"/>
      <c r="BX175" s="323"/>
      <c r="BY175" s="323"/>
      <c r="BZ175" s="323"/>
      <c r="CA175" s="323"/>
      <c r="CB175" s="323"/>
      <c r="CC175" s="323"/>
      <c r="CD175" s="323"/>
      <c r="CE175" s="323"/>
      <c r="CF175" s="323"/>
      <c r="CG175" s="323"/>
      <c r="CH175" s="323"/>
      <c r="CI175" s="323"/>
      <c r="CJ175" s="323"/>
      <c r="CK175" s="323"/>
      <c r="CL175" s="323"/>
      <c r="CM175" s="323"/>
      <c r="CN175" s="323"/>
      <c r="CO175" s="323"/>
      <c r="CP175" s="1144" t="s">
        <v>77</v>
      </c>
      <c r="CQ175" s="1145"/>
      <c r="CR175" s="323"/>
      <c r="CS175" s="323"/>
      <c r="CT175" s="323"/>
      <c r="CU175" s="323"/>
      <c r="CV175" s="323"/>
      <c r="CW175" s="323"/>
      <c r="CX175" s="323"/>
      <c r="CY175" s="323"/>
      <c r="CZ175" s="323"/>
      <c r="EK175" s="1070"/>
      <c r="EL175" s="1070"/>
      <c r="EM175" s="1070"/>
      <c r="EN175" s="1070"/>
      <c r="EO175" s="1070"/>
      <c r="EP175" s="1070"/>
      <c r="EQ175" s="1070"/>
    </row>
    <row r="176" spans="2:222" ht="13.5" hidden="1" customHeight="1" outlineLevel="1" x14ac:dyDescent="0.45">
      <c r="B176" s="173" t="s">
        <v>116</v>
      </c>
      <c r="N176" s="218"/>
      <c r="P176" s="216"/>
      <c r="Q176" s="220"/>
      <c r="R176" s="217"/>
      <c r="V176" s="251"/>
      <c r="W176" s="323"/>
      <c r="X176" s="323"/>
      <c r="Y176" s="323"/>
      <c r="Z176" s="323"/>
      <c r="AA176" s="323"/>
      <c r="AB176" s="323"/>
      <c r="AC176" s="323"/>
      <c r="AD176" s="323"/>
      <c r="AE176" s="323"/>
      <c r="AF176" s="323"/>
      <c r="AG176" s="323"/>
      <c r="AH176" s="323"/>
      <c r="AI176" s="323" t="str">
        <f>IFERROR(VLOOKUP(B176&amp;"_"&amp;J176,'LCA data'!$B$7:$X$200,19,FALSE)*(K176*10^3)*C176,"")</f>
        <v/>
      </c>
      <c r="AJ176" s="323" t="str">
        <f>IFERROR(VLOOKUP($B176&amp;"_"&amp;J176,'LCA data'!$B$7:$X$238,2,FALSE),"")</f>
        <v/>
      </c>
      <c r="AK176" s="323" t="str">
        <f>IFERROR(IF(M176&gt;0,VLOOKUP(B176&amp;"_"&amp;J176,'LCA data'!$B$7:$X$200,19,FALSE)*(K176*10^3)*C176,""),"")</f>
        <v/>
      </c>
      <c r="AL176" s="323" t="str">
        <f>IFERROR(AJ176+VLOOKUP(B176&amp;"_"&amp;J176,'LCA data'!$B$7:$X$238,2,FALSE),"")</f>
        <v/>
      </c>
      <c r="AM176" s="323" t="str">
        <f>IFERROR(IF(M176-1&gt;0,VLOOKUP(B176&amp;"_"&amp;J176,'LCA data'!$B$7:$X$200,19,FALSE)*(K176*10^3)*C176,""),"")</f>
        <v/>
      </c>
      <c r="AN176" s="323" t="str">
        <f>IFERROR(AL176+VLOOKUP(B176&amp;"_"&amp;J176,'LCA data'!$B$7:$X$238,2,FALSE),"")</f>
        <v/>
      </c>
      <c r="AO176" s="323" t="str">
        <f>IFERROR(IF(M176-2&gt;0,VLOOKUP(B176&amp;"_"&amp;J176,'LCA data'!$B$7:$X$200,19,FALSE)*(K176*10^3)*C176,""),"")</f>
        <v/>
      </c>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3"/>
      <c r="BR176" s="323"/>
      <c r="BS176" s="323"/>
      <c r="BT176" s="323"/>
      <c r="BU176" s="323"/>
      <c r="BV176" s="323"/>
      <c r="BW176" s="323"/>
      <c r="BX176" s="323"/>
      <c r="BY176" s="323"/>
      <c r="BZ176" s="323"/>
      <c r="CA176" s="323"/>
      <c r="CB176" s="323"/>
      <c r="CC176" s="323"/>
      <c r="CD176" s="323"/>
      <c r="CE176" s="323"/>
      <c r="CF176" s="323"/>
      <c r="CG176" s="323"/>
      <c r="CH176" s="323"/>
      <c r="CI176" s="323"/>
      <c r="CJ176" s="323"/>
      <c r="CK176" s="323"/>
      <c r="CL176" s="323"/>
      <c r="CM176" s="323"/>
      <c r="CN176" s="323"/>
      <c r="CO176" s="323"/>
      <c r="CP176" s="431"/>
      <c r="CQ176" s="432"/>
      <c r="CR176" s="323"/>
      <c r="CS176" s="323"/>
      <c r="CT176" s="323"/>
      <c r="CU176" s="323"/>
      <c r="CV176" s="323"/>
      <c r="CW176" s="323"/>
      <c r="CX176" s="323"/>
      <c r="CY176" s="323"/>
      <c r="CZ176" s="323"/>
      <c r="EK176" s="1070"/>
      <c r="EL176" s="1070"/>
      <c r="EM176" s="1070"/>
      <c r="EN176" s="1070"/>
      <c r="EO176" s="1070"/>
      <c r="EP176" s="1070"/>
      <c r="EQ176" s="1070"/>
    </row>
    <row r="177" spans="2:222" ht="18.649999999999999" customHeight="1" collapsed="1" x14ac:dyDescent="0.35">
      <c r="B177" s="554"/>
      <c r="C177" s="554"/>
      <c r="D177" s="542"/>
      <c r="E177" s="553"/>
      <c r="F177" s="553"/>
      <c r="G177" s="553"/>
      <c r="H177" s="553"/>
      <c r="I177" s="542"/>
      <c r="J177" s="553"/>
      <c r="K177" s="553"/>
      <c r="L177" s="553"/>
      <c r="M177" s="553"/>
      <c r="N177" s="229"/>
      <c r="O177" s="229"/>
      <c r="P177" s="230"/>
      <c r="Q177" s="373"/>
      <c r="R177" s="217"/>
      <c r="S177" s="374"/>
      <c r="T177" s="241"/>
      <c r="V177" s="251"/>
      <c r="W177" s="323"/>
      <c r="X177" s="323"/>
      <c r="Y177" s="323"/>
      <c r="Z177" s="323"/>
      <c r="AA177" s="323"/>
      <c r="AB177" s="323"/>
      <c r="AC177" s="323"/>
      <c r="AD177" s="323"/>
      <c r="AE177" s="323"/>
      <c r="AF177" s="323"/>
      <c r="AG177" s="323"/>
      <c r="AH177" s="323"/>
      <c r="AI177" s="323" t="str">
        <f>IFERROR(VLOOKUP(B177&amp;"_"&amp;J177,'LCA data'!$B$7:$X$200,19,FALSE)*(K177*10^3)*C177,"")</f>
        <v/>
      </c>
      <c r="AJ177" s="323" t="str">
        <f>IFERROR(VLOOKUP($B177&amp;"_"&amp;J177,'LCA data'!$B$7:$X$238,2,FALSE),"")</f>
        <v/>
      </c>
      <c r="AK177" s="323" t="str">
        <f>IFERROR(IF(M177&gt;0,VLOOKUP(B177&amp;"_"&amp;J177,'LCA data'!$B$7:$X$200,19,FALSE)*(K177*10^3)*C177,""),"")</f>
        <v/>
      </c>
      <c r="AL177" s="323" t="str">
        <f>IFERROR(AJ177+VLOOKUP(B177&amp;"_"&amp;J177,'LCA data'!$B$7:$X$238,2,FALSE),"")</f>
        <v/>
      </c>
      <c r="AM177" s="323" t="str">
        <f>IFERROR(IF(M177-1&gt;0,VLOOKUP(B177&amp;"_"&amp;J177,'LCA data'!$B$7:$X$200,19,FALSE)*(K177*10^3)*C177,""),"")</f>
        <v/>
      </c>
      <c r="AN177" s="323" t="str">
        <f>IFERROR(AL177+VLOOKUP(B177&amp;"_"&amp;J177,'LCA data'!$B$7:$X$238,2,FALSE),"")</f>
        <v/>
      </c>
      <c r="AO177" s="323" t="str">
        <f>IFERROR(IF(M177-2&gt;0,VLOOKUP(B177&amp;"_"&amp;J177,'LCA data'!$B$7:$X$200,19,FALSE)*(K177*10^3)*C177,""),"")</f>
        <v/>
      </c>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3"/>
      <c r="BR177" s="323"/>
      <c r="BS177" s="323"/>
      <c r="BT177" s="323"/>
      <c r="BU177" s="323"/>
      <c r="BV177" s="323"/>
      <c r="BW177" s="323"/>
      <c r="BX177" s="323"/>
      <c r="BY177" s="323"/>
      <c r="BZ177" s="323"/>
      <c r="CA177" s="323"/>
      <c r="CB177" s="323"/>
      <c r="CC177" s="323"/>
      <c r="CD177" s="323"/>
      <c r="CE177" s="323"/>
      <c r="CF177" s="323"/>
      <c r="CG177" s="323"/>
      <c r="CH177" s="323"/>
      <c r="CI177" s="323"/>
      <c r="CJ177" s="323"/>
      <c r="CK177" s="323"/>
      <c r="CL177" s="323"/>
      <c r="CM177" s="323"/>
      <c r="CN177" s="323"/>
      <c r="CO177" s="323"/>
      <c r="CP177" s="431"/>
      <c r="CQ177" s="433"/>
      <c r="CR177" s="323"/>
      <c r="CS177" s="323"/>
      <c r="CT177" s="323"/>
      <c r="CU177" s="323"/>
      <c r="CV177" s="323"/>
      <c r="CW177" s="323"/>
      <c r="CX177" s="323"/>
      <c r="CY177" s="323"/>
      <c r="CZ177" s="323"/>
      <c r="EK177" s="1070"/>
      <c r="EL177" s="1070"/>
      <c r="EM177" s="1070"/>
      <c r="EN177" s="1070"/>
      <c r="EO177" s="1070"/>
      <c r="EP177" s="1070"/>
      <c r="EQ177" s="1070"/>
    </row>
    <row r="178" spans="2:222" ht="35.25" hidden="1" customHeight="1" outlineLevel="1" x14ac:dyDescent="0.35">
      <c r="B178" s="493" t="s">
        <v>112</v>
      </c>
      <c r="C178" s="499"/>
      <c r="D178" s="499"/>
      <c r="E178" s="506" t="s">
        <v>114</v>
      </c>
      <c r="F178" s="499"/>
      <c r="G178" s="499"/>
      <c r="H178" s="499"/>
      <c r="I178" s="500" t="str">
        <f>"Tagkonstruktion"&amp;" "&amp;5</f>
        <v>Tagkonstruktion 5</v>
      </c>
      <c r="J178" s="500"/>
      <c r="K178" s="499"/>
      <c r="L178" s="499"/>
      <c r="M178" s="499"/>
      <c r="N178" s="499"/>
      <c r="O178" s="499"/>
      <c r="P178" s="499"/>
      <c r="Q178" s="501"/>
      <c r="R178" s="190"/>
      <c r="S178" s="191"/>
      <c r="V178" s="251"/>
      <c r="W178" s="323">
        <f>IF(D181=$D$82,1,0)</f>
        <v>1</v>
      </c>
      <c r="X178" s="323">
        <f>IF(I181=$D$82,1,0)</f>
        <v>1</v>
      </c>
      <c r="Y178" s="323"/>
      <c r="Z178" s="323"/>
      <c r="AA178" s="323"/>
      <c r="AB178" s="323"/>
      <c r="AC178" s="323"/>
      <c r="AD178" s="323"/>
      <c r="AE178" s="323"/>
      <c r="AF178" s="323"/>
      <c r="AG178" s="323"/>
      <c r="AH178" s="323"/>
      <c r="AI178" s="323"/>
      <c r="AJ178" s="323" t="s">
        <v>746</v>
      </c>
      <c r="AK178" s="323" t="s">
        <v>747</v>
      </c>
      <c r="AL178" s="323" t="str">
        <f>IFERROR(AJ178+VLOOKUP(E178&amp;"_"&amp;J178,'LCA data'!$B$7:$X$238,2,FALSE),"")</f>
        <v/>
      </c>
      <c r="AM178" s="323" t="str">
        <f>IFERROR(IF(M178-1&gt;0,VLOOKUP(E178&amp;"_"&amp;J178,'LCA data'!$B$7:$X$200,19,FALSE)*(K178*10^3)*C178,""),"")</f>
        <v/>
      </c>
      <c r="AN178" s="323" t="s">
        <v>846</v>
      </c>
      <c r="AO178" s="323"/>
      <c r="AP178" s="323"/>
      <c r="AQ178" s="323"/>
      <c r="AR178" s="323" t="s">
        <v>851</v>
      </c>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c r="BM178" s="323"/>
      <c r="BN178" s="323"/>
      <c r="BO178" s="323"/>
      <c r="BP178" s="323"/>
      <c r="BQ178" s="323"/>
      <c r="BR178" s="323"/>
      <c r="BS178" s="323"/>
      <c r="BT178" s="323"/>
      <c r="BU178" s="323"/>
      <c r="BV178" s="323"/>
      <c r="BW178" s="323"/>
      <c r="BX178" s="323"/>
      <c r="BY178" s="323"/>
      <c r="BZ178" s="323"/>
      <c r="CA178" s="323"/>
      <c r="CB178" s="323"/>
      <c r="CC178" s="323"/>
      <c r="CD178" s="323"/>
      <c r="CE178" s="323"/>
      <c r="CF178" s="323"/>
      <c r="CG178" s="323"/>
      <c r="CH178" s="323"/>
      <c r="CI178" s="323"/>
      <c r="CJ178" s="323"/>
      <c r="CK178" s="323"/>
      <c r="CL178" s="323"/>
      <c r="CM178" s="323"/>
      <c r="CN178" s="323"/>
      <c r="CO178" s="323"/>
      <c r="CP178" s="431"/>
      <c r="CQ178" s="434"/>
      <c r="CR178" s="323"/>
      <c r="CS178" s="323"/>
      <c r="CT178" s="323"/>
      <c r="CU178" s="323"/>
      <c r="CV178" s="323"/>
      <c r="CW178" s="323"/>
      <c r="CX178" s="323"/>
      <c r="CY178" s="323"/>
      <c r="CZ178" s="323"/>
      <c r="EK178" s="1070"/>
      <c r="EL178" s="1070"/>
      <c r="EM178" s="1070"/>
      <c r="EN178" s="1070"/>
      <c r="EO178" s="1070"/>
      <c r="EP178" s="1070"/>
      <c r="EQ178" s="1070"/>
    </row>
    <row r="179" spans="2:222" ht="40.4" hidden="1" customHeight="1" outlineLevel="1" x14ac:dyDescent="0.35">
      <c r="B179" s="359" t="s">
        <v>78</v>
      </c>
      <c r="C179" s="195" t="s">
        <v>80</v>
      </c>
      <c r="D179" s="910" t="s">
        <v>4</v>
      </c>
      <c r="E179" s="911"/>
      <c r="F179" s="911"/>
      <c r="G179" s="911"/>
      <c r="H179" s="912"/>
      <c r="I179" s="885" t="s">
        <v>5</v>
      </c>
      <c r="J179" s="886"/>
      <c r="K179" s="886"/>
      <c r="L179" s="886"/>
      <c r="M179" s="887"/>
      <c r="N179" s="877" t="s">
        <v>79</v>
      </c>
      <c r="O179" s="877"/>
      <c r="P179" s="877"/>
      <c r="Q179" s="881"/>
      <c r="R179" s="192"/>
      <c r="S179" s="193"/>
      <c r="T179" s="175"/>
      <c r="V179" s="251"/>
      <c r="W179" s="323"/>
      <c r="X179" s="323"/>
      <c r="Y179" s="323"/>
      <c r="Z179" s="323"/>
      <c r="AA179" s="323"/>
      <c r="AB179" s="323"/>
      <c r="AC179" s="323"/>
      <c r="AD179" s="323"/>
      <c r="AE179" s="323"/>
      <c r="AF179" s="323"/>
      <c r="AG179" s="323"/>
      <c r="AH179" s="323"/>
      <c r="AI179" s="323" t="str">
        <f>'LCA data'!$B$77</f>
        <v>Tagbelægning</v>
      </c>
      <c r="AJ179" s="323">
        <f>VLOOKUP(E182,Pris.tag.beklædning[],2,0)*C182</f>
        <v>0</v>
      </c>
      <c r="AK179" s="323">
        <f>VLOOKUP(J182,Pris.tag.beklædning[],2,0)*C182</f>
        <v>0</v>
      </c>
      <c r="AL179" s="323" t="str">
        <f>IFERROR(AJ179+VLOOKUP(B179&amp;"_"&amp;I179,'LCA data'!$B$7:$X$238,2,FALSE),"")</f>
        <v/>
      </c>
      <c r="AM179" s="323" t="str">
        <f>IFERROR(IF(M179-1&gt;0,VLOOKUP(B179&amp;"_"&amp;I179,'LCA data'!$B$7:$X$200,19,FALSE)*(K179*10^3)*C179,""),"")</f>
        <v/>
      </c>
      <c r="AN179" s="323" t="s">
        <v>4</v>
      </c>
      <c r="AO179" s="323" t="s">
        <v>5</v>
      </c>
      <c r="AP179" s="323"/>
      <c r="AQ179" s="323"/>
      <c r="AR179" s="323" t="s">
        <v>4</v>
      </c>
      <c r="AS179" s="323" t="s">
        <v>5</v>
      </c>
      <c r="AT179" s="323"/>
      <c r="AU179" s="323"/>
      <c r="AV179" s="323"/>
      <c r="AW179" s="323"/>
      <c r="AX179" s="323"/>
      <c r="AY179" s="323"/>
      <c r="AZ179" s="323"/>
      <c r="BA179" s="323"/>
      <c r="BB179" s="323"/>
      <c r="BC179" s="323"/>
      <c r="BD179" s="323"/>
      <c r="BE179" s="323"/>
      <c r="BF179" s="323"/>
      <c r="BG179" s="323"/>
      <c r="BH179" s="323"/>
      <c r="BI179" s="323"/>
      <c r="BJ179" s="323"/>
      <c r="BK179" s="323"/>
      <c r="BL179" s="323"/>
      <c r="BM179" s="323"/>
      <c r="BN179" s="323"/>
      <c r="BO179" s="323"/>
      <c r="BP179" s="323"/>
      <c r="BQ179" s="323"/>
      <c r="BR179" s="323"/>
      <c r="BS179" s="323"/>
      <c r="BT179" s="323"/>
      <c r="BU179" s="323"/>
      <c r="BV179" s="323"/>
      <c r="BW179" s="323"/>
      <c r="BX179" s="323"/>
      <c r="BY179" s="323"/>
      <c r="BZ179" s="323"/>
      <c r="CA179" s="323"/>
      <c r="CB179" s="323"/>
      <c r="CC179" s="323"/>
      <c r="CD179" s="323"/>
      <c r="CE179" s="323"/>
      <c r="CF179" s="323"/>
      <c r="CG179" s="323"/>
      <c r="CH179" s="323"/>
      <c r="CI179" s="323"/>
      <c r="CJ179" s="323"/>
      <c r="CK179" s="323"/>
      <c r="CL179" s="323"/>
      <c r="CM179" s="323"/>
      <c r="CN179" s="323"/>
      <c r="CO179" s="323"/>
      <c r="CP179" s="431"/>
      <c r="CQ179" s="433"/>
      <c r="CR179" s="323"/>
      <c r="CS179" s="323"/>
      <c r="CT179" s="323"/>
      <c r="CU179" s="323"/>
      <c r="CV179" s="323"/>
      <c r="CW179" s="323"/>
      <c r="CX179" s="323"/>
      <c r="CY179" s="323"/>
      <c r="CZ179" s="323"/>
      <c r="EK179" s="1070"/>
      <c r="EL179" s="1070"/>
      <c r="EM179" s="1070"/>
      <c r="EN179" s="1070"/>
      <c r="EO179" s="1070"/>
      <c r="EP179" s="1070"/>
      <c r="EQ179" s="1070"/>
    </row>
    <row r="180" spans="2:222" ht="44.9" hidden="1" customHeight="1" outlineLevel="1" x14ac:dyDescent="0.35">
      <c r="B180" s="194"/>
      <c r="C180" s="665">
        <v>0</v>
      </c>
      <c r="D180" s="908" t="s">
        <v>797</v>
      </c>
      <c r="E180" s="909"/>
      <c r="F180" s="338" t="s">
        <v>82</v>
      </c>
      <c r="G180" s="338" t="s">
        <v>83</v>
      </c>
      <c r="H180" s="346" t="s">
        <v>84</v>
      </c>
      <c r="I180" s="913" t="s">
        <v>797</v>
      </c>
      <c r="J180" s="914"/>
      <c r="K180" s="479" t="s">
        <v>82</v>
      </c>
      <c r="L180" s="479" t="s">
        <v>83</v>
      </c>
      <c r="M180" s="508" t="s">
        <v>84</v>
      </c>
      <c r="N180" s="195" t="s">
        <v>4</v>
      </c>
      <c r="O180" s="195" t="s">
        <v>85</v>
      </c>
      <c r="P180" s="195" t="s">
        <v>5</v>
      </c>
      <c r="Q180" s="357" t="s">
        <v>86</v>
      </c>
      <c r="R180" s="192"/>
      <c r="S180" s="196"/>
      <c r="V180" s="251"/>
      <c r="W180" s="323" t="s">
        <v>87</v>
      </c>
      <c r="X180" s="323" t="s">
        <v>88</v>
      </c>
      <c r="Y180" s="323" t="s">
        <v>89</v>
      </c>
      <c r="Z180" s="323" t="s">
        <v>90</v>
      </c>
      <c r="AA180" s="323" t="s">
        <v>91</v>
      </c>
      <c r="AB180" s="323"/>
      <c r="AC180" s="323"/>
      <c r="AD180" s="323"/>
      <c r="AE180" s="323" t="s">
        <v>92</v>
      </c>
      <c r="AF180" s="323"/>
      <c r="AG180" s="323"/>
      <c r="AH180" s="323"/>
      <c r="AI180" s="323" t="s">
        <v>209</v>
      </c>
      <c r="AJ180" s="323">
        <f>VLOOKUP(E183,Pris.isolering.tag[],2,0)*F183*C183</f>
        <v>0</v>
      </c>
      <c r="AK180" s="323">
        <f>VLOOKUP(J183,Pris.isolering.tag[],2,0)*K183*C183</f>
        <v>0</v>
      </c>
      <c r="AL180" s="323" t="str">
        <f>IFERROR(AJ180+VLOOKUP(B180&amp;"_"&amp;J180,'LCA data'!$B$7:$X$238,2,FALSE),"")</f>
        <v/>
      </c>
      <c r="AM180" s="323" t="str">
        <f>IFERROR(IF(M180-1&gt;0,VLOOKUP(B180&amp;"_"&amp;J180,'LCA data'!$B$7:$X$200,19,FALSE)*(K180*10^3)*C180,""),"")</f>
        <v/>
      </c>
      <c r="AN180" s="323">
        <f>SUM(AN182:AN186)</f>
        <v>0</v>
      </c>
      <c r="AO180" s="323">
        <f>SUM(AO182:AO186)</f>
        <v>0</v>
      </c>
      <c r="AP180" s="323"/>
      <c r="AQ180" s="323"/>
      <c r="AR180" s="323">
        <f>SUM(AR182:AR185)</f>
        <v>0</v>
      </c>
      <c r="AS180" s="323">
        <f>SUM(AS182:AS185)</f>
        <v>0</v>
      </c>
      <c r="AT180" s="323"/>
      <c r="AU180" s="323"/>
      <c r="AV180" s="323"/>
      <c r="AW180" s="323"/>
      <c r="AX180" s="323"/>
      <c r="AY180" s="323"/>
      <c r="AZ180" s="323"/>
      <c r="BA180" s="323"/>
      <c r="BB180" s="323"/>
      <c r="BC180" s="323"/>
      <c r="BD180" s="323"/>
      <c r="BE180" s="323"/>
      <c r="BF180" s="323"/>
      <c r="BG180" s="323"/>
      <c r="BH180" s="323"/>
      <c r="BI180" s="323"/>
      <c r="BJ180" s="323"/>
      <c r="BK180" s="323"/>
      <c r="BL180" s="323"/>
      <c r="BM180" s="323"/>
      <c r="BN180" s="323"/>
      <c r="BO180" s="323"/>
      <c r="BP180" s="323"/>
      <c r="BQ180" s="323"/>
      <c r="BR180" s="323"/>
      <c r="BS180" s="323"/>
      <c r="BT180" s="323"/>
      <c r="BU180" s="323"/>
      <c r="BV180" s="323"/>
      <c r="BW180" s="323"/>
      <c r="BX180" s="323"/>
      <c r="BY180" s="323"/>
      <c r="BZ180" s="323"/>
      <c r="CA180" s="323"/>
      <c r="CB180" s="323"/>
      <c r="CC180" s="323"/>
      <c r="CD180" s="323"/>
      <c r="CE180" s="323"/>
      <c r="CF180" s="323"/>
      <c r="CG180" s="323"/>
      <c r="CH180" s="323"/>
      <c r="CI180" s="323"/>
      <c r="CJ180" s="323"/>
      <c r="CK180" s="323"/>
      <c r="CL180" s="323"/>
      <c r="CM180" s="323"/>
      <c r="CN180" s="323"/>
      <c r="CO180" s="323"/>
      <c r="CP180" s="431"/>
      <c r="CQ180" s="433"/>
      <c r="CR180" s="323"/>
      <c r="CS180" s="323"/>
      <c r="CT180" s="323"/>
      <c r="CU180" s="323"/>
      <c r="CV180" s="323"/>
      <c r="CW180" s="323"/>
      <c r="CX180" s="323"/>
      <c r="CY180" s="323"/>
      <c r="CZ180" s="323"/>
      <c r="EK180" s="1070"/>
      <c r="EL180" s="1070"/>
      <c r="EM180" s="1070"/>
      <c r="EN180" s="1070"/>
      <c r="EO180" s="1070"/>
      <c r="EP180" s="1070"/>
      <c r="EQ180" s="1070"/>
    </row>
    <row r="181" spans="2:222" s="198" customFormat="1" ht="26" hidden="1" customHeight="1" outlineLevel="1" x14ac:dyDescent="0.35">
      <c r="B181" s="199"/>
      <c r="C181" s="200" t="s">
        <v>93</v>
      </c>
      <c r="D181" s="915" t="s">
        <v>811</v>
      </c>
      <c r="E181" s="915"/>
      <c r="F181" s="347" t="s">
        <v>94</v>
      </c>
      <c r="G181" s="348" t="s">
        <v>95</v>
      </c>
      <c r="H181" s="349" t="s">
        <v>96</v>
      </c>
      <c r="I181" s="915" t="s">
        <v>811</v>
      </c>
      <c r="J181" s="915"/>
      <c r="K181" s="510" t="s">
        <v>94</v>
      </c>
      <c r="L181" s="511" t="s">
        <v>95</v>
      </c>
      <c r="M181" s="512" t="s">
        <v>96</v>
      </c>
      <c r="N181" s="201" t="s">
        <v>97</v>
      </c>
      <c r="O181" s="201" t="s">
        <v>97</v>
      </c>
      <c r="P181" s="201" t="s">
        <v>97</v>
      </c>
      <c r="Q181" s="358" t="s">
        <v>97</v>
      </c>
      <c r="R181" s="202"/>
      <c r="S181" s="203"/>
      <c r="T181" s="204"/>
      <c r="U181" s="204"/>
      <c r="V181" s="325"/>
      <c r="W181" s="323">
        <f>SUM(W182:W185)</f>
        <v>0</v>
      </c>
      <c r="X181" s="323">
        <f>SUM(X182:X185)</f>
        <v>0</v>
      </c>
      <c r="Y181" s="323"/>
      <c r="Z181" s="323"/>
      <c r="AA181" s="323"/>
      <c r="AB181" s="323" t="s">
        <v>111</v>
      </c>
      <c r="AC181" s="323" t="s">
        <v>98</v>
      </c>
      <c r="AD181" s="323" t="s">
        <v>99</v>
      </c>
      <c r="AE181" s="323" t="s">
        <v>100</v>
      </c>
      <c r="AF181" s="323"/>
      <c r="AG181" s="323"/>
      <c r="AH181" s="323"/>
      <c r="AI181" s="323" t="str">
        <f>'LCA data'!$B$93</f>
        <v>Tagkonstruktion</v>
      </c>
      <c r="AJ181" s="323">
        <f>VLOOKUP(E184,Pris.tag.konstruktion[],2,0)*C184</f>
        <v>0</v>
      </c>
      <c r="AK181" s="323">
        <f>VLOOKUP(J184,Pris.tag.konstruktion[],2,0)*C184</f>
        <v>0</v>
      </c>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c r="BM181" s="323"/>
      <c r="BN181" s="323"/>
      <c r="BO181" s="323"/>
      <c r="BP181" s="323"/>
      <c r="BQ181" s="323"/>
      <c r="BR181" s="323"/>
      <c r="BS181" s="323"/>
      <c r="BT181" s="323"/>
      <c r="BU181" s="323"/>
      <c r="BV181" s="323"/>
      <c r="BW181" s="323"/>
      <c r="BX181" s="323"/>
      <c r="BY181" s="323"/>
      <c r="BZ181" s="323"/>
      <c r="CA181" s="323"/>
      <c r="CB181" s="323"/>
      <c r="CC181" s="323"/>
      <c r="CD181" s="323"/>
      <c r="CE181" s="323"/>
      <c r="CF181" s="323"/>
      <c r="CG181" s="323"/>
      <c r="CH181" s="323"/>
      <c r="CI181" s="323"/>
      <c r="CJ181" s="323"/>
      <c r="CK181" s="323"/>
      <c r="CL181" s="323"/>
      <c r="CM181" s="323"/>
      <c r="CN181" s="323"/>
      <c r="CO181" s="323"/>
      <c r="CP181" s="435"/>
      <c r="CQ181" s="433"/>
      <c r="CR181" s="323"/>
      <c r="CS181" s="323"/>
      <c r="CT181" s="323"/>
      <c r="CU181" s="323"/>
      <c r="CV181" s="323"/>
      <c r="CW181" s="323"/>
      <c r="CX181" s="323"/>
      <c r="CY181" s="323"/>
      <c r="CZ181" s="323"/>
      <c r="DA181" s="325"/>
      <c r="DB181" s="325"/>
      <c r="DC181" s="325"/>
      <c r="DD181" s="325"/>
      <c r="DE181" s="325"/>
      <c r="DF181" s="325"/>
      <c r="DG181" s="325"/>
      <c r="DH181" s="325"/>
      <c r="DI181" s="325"/>
      <c r="DJ181" s="325"/>
      <c r="DK181" s="325"/>
      <c r="DL181" s="325"/>
      <c r="DM181" s="325"/>
      <c r="DN181" s="325"/>
      <c r="DO181" s="325"/>
      <c r="DP181" s="325"/>
      <c r="DQ181" s="325"/>
      <c r="DR181" s="325"/>
      <c r="DS181" s="325"/>
      <c r="DT181" s="325"/>
      <c r="DU181" s="325"/>
      <c r="DV181" s="325"/>
      <c r="DW181" s="325"/>
      <c r="DX181" s="325"/>
      <c r="DY181" s="325"/>
      <c r="DZ181" s="325"/>
      <c r="EA181" s="325"/>
      <c r="EB181" s="325"/>
      <c r="EC181" s="325"/>
      <c r="ED181" s="325"/>
      <c r="EE181" s="325"/>
      <c r="EF181" s="325"/>
      <c r="EG181" s="325"/>
      <c r="EH181" s="325"/>
      <c r="EI181" s="325"/>
      <c r="EJ181" s="325"/>
      <c r="EK181" s="1072"/>
      <c r="EL181" s="1072"/>
      <c r="EM181" s="1072"/>
      <c r="EN181" s="1072"/>
      <c r="EO181" s="1072"/>
      <c r="EP181" s="1072"/>
      <c r="EQ181" s="1072"/>
      <c r="ER181" s="325"/>
      <c r="ES181" s="325"/>
      <c r="ET181" s="325"/>
      <c r="EU181" s="325"/>
      <c r="EV181" s="325"/>
      <c r="EW181" s="325"/>
      <c r="EX181" s="325"/>
      <c r="EY181" s="325"/>
      <c r="EZ181" s="325"/>
      <c r="FA181" s="325"/>
      <c r="FB181" s="325"/>
      <c r="FC181" s="325"/>
      <c r="FD181" s="325"/>
      <c r="FE181" s="325"/>
      <c r="FF181" s="325"/>
      <c r="FG181" s="325"/>
      <c r="FH181" s="325"/>
      <c r="FI181" s="325"/>
      <c r="FJ181" s="325"/>
      <c r="FK181" s="325"/>
      <c r="FL181" s="325"/>
      <c r="FM181" s="325"/>
      <c r="FN181" s="325"/>
      <c r="FO181" s="325"/>
      <c r="FP181" s="325"/>
      <c r="FQ181" s="325"/>
      <c r="FR181" s="325"/>
      <c r="FS181" s="325"/>
      <c r="FT181" s="325"/>
      <c r="FU181" s="325"/>
      <c r="FV181" s="325"/>
      <c r="FW181" s="325"/>
      <c r="FX181" s="325"/>
      <c r="FY181" s="325"/>
      <c r="FZ181" s="325"/>
      <c r="GA181" s="325"/>
      <c r="GB181" s="325"/>
      <c r="GC181" s="325"/>
      <c r="GD181" s="325"/>
      <c r="GE181" s="325"/>
      <c r="GF181" s="325"/>
      <c r="GG181" s="325"/>
      <c r="GH181" s="325"/>
      <c r="GI181" s="325"/>
      <c r="GJ181" s="325"/>
      <c r="GK181" s="325"/>
      <c r="GL181" s="325"/>
      <c r="GM181" s="325"/>
      <c r="GN181" s="325"/>
      <c r="GO181" s="325"/>
      <c r="GP181" s="325"/>
      <c r="GQ181" s="325"/>
      <c r="GR181" s="325"/>
      <c r="GS181" s="325"/>
      <c r="GT181" s="325"/>
      <c r="GU181" s="325"/>
      <c r="GV181" s="325"/>
      <c r="GW181" s="325"/>
      <c r="GX181" s="325"/>
      <c r="GY181" s="325"/>
      <c r="GZ181" s="325"/>
      <c r="HA181" s="325"/>
      <c r="HB181" s="325"/>
      <c r="HC181" s="325"/>
      <c r="HD181" s="325"/>
      <c r="HE181" s="325"/>
      <c r="HF181" s="325"/>
      <c r="HG181" s="325"/>
      <c r="HH181" s="325"/>
      <c r="HI181" s="325"/>
      <c r="HJ181" s="325"/>
      <c r="HK181" s="325"/>
      <c r="HL181" s="325"/>
      <c r="HM181" s="325"/>
      <c r="HN181" s="325"/>
    </row>
    <row r="182" spans="2:222" ht="40.4" hidden="1" customHeight="1" outlineLevel="1" thickBot="1" x14ac:dyDescent="0.4">
      <c r="B182" s="363" t="str">
        <f>'LCA data'!$B$77</f>
        <v>Tagbelægning</v>
      </c>
      <c r="C182" s="469">
        <f>$C$180*$C$44</f>
        <v>0</v>
      </c>
      <c r="D182" s="15" t="s">
        <v>103</v>
      </c>
      <c r="E182" s="342" t="str">
        <f>IF($D$181=$D$82,D182,VLOOKUP(B182,Auto_Tag[],VLOOKUP($D$181,Type_Tung_Middel_Let[],2,0),0))</f>
        <v>Angiv ikke</v>
      </c>
      <c r="F182" s="356">
        <f>(VLOOKUP(E182,Pris.tag.beklædning[],4,0))/1000</f>
        <v>0</v>
      </c>
      <c r="G182" s="350"/>
      <c r="H182" s="351" t="str">
        <f>IFERROR(IF(VLOOKUP(B182&amp;"_"&amp;E182,'LCA data'!$B$7:$X$200,2,FALSE)&lt;$Y$24,1,0)+IF(VLOOKUP(B182&amp;"_"&amp;E182,'LCA data'!$B$7:$X$200,2,FALSE)*2&lt;$Y$24,1,0),"")</f>
        <v/>
      </c>
      <c r="I182" s="15" t="s">
        <v>103</v>
      </c>
      <c r="J182" s="342" t="str">
        <f>IF($I$181=$D$82,I182,VLOOKUP(B182,Auto_Tag[],VLOOKUP($I$181,Type_Tung_Middel_Let[],2,0),0))</f>
        <v>Angiv ikke</v>
      </c>
      <c r="K182" s="513">
        <f>(VLOOKUP(J182,Pris.tag.beklædning[],4,0))/1000</f>
        <v>0</v>
      </c>
      <c r="L182" s="514"/>
      <c r="M182" s="515" t="str">
        <f>IFERROR(IF(VLOOKUP(B182&amp;"_"&amp;J182,'LCA data'!$B$7:$X$200,2,FALSE)&lt;$Y$24,1,0)+IF(VLOOKUP(B182&amp;"_"&amp;J182,'LCA data'!$B$7:$X$200,2,FALSE)*2&lt;$Y$24,1,0),"")</f>
        <v/>
      </c>
      <c r="N182" s="364">
        <f>W182/1000</f>
        <v>0</v>
      </c>
      <c r="O182" s="880">
        <f>SUM(N182:N185)</f>
        <v>0</v>
      </c>
      <c r="P182" s="365">
        <f>X182/1000</f>
        <v>0</v>
      </c>
      <c r="Q182" s="888">
        <f>SUM(P182:P185)</f>
        <v>0</v>
      </c>
      <c r="R182" s="192"/>
      <c r="S182" s="196"/>
      <c r="V182" s="251"/>
      <c r="W182" s="323">
        <f>IF(E182="Angiv ikke",0,((1+H182)*VLOOKUP(B182&amp;"_"&amp;E182,'LCA data'!$B$7:$X$360,19,FALSE)*(F182*10^3)*C182))</f>
        <v>0</v>
      </c>
      <c r="X182" s="323">
        <f>IF(J182="Angiv ikke",0,((1+M182)*VLOOKUP(B182&amp;"_"&amp;J182,'LCA data'!$B$7:$X$360,19,FALSE)*(K182*10^3)*C182))</f>
        <v>0</v>
      </c>
      <c r="Y182" s="323"/>
      <c r="Z182" s="323"/>
      <c r="AA182" s="323" t="s">
        <v>4</v>
      </c>
      <c r="AB182" s="323">
        <f>AF182/$J$21/$Y$24*1000</f>
        <v>0</v>
      </c>
      <c r="AC182" s="323">
        <f>Varmetab!H76</f>
        <v>0</v>
      </c>
      <c r="AD182" s="323">
        <f>AB182+AC182</f>
        <v>0</v>
      </c>
      <c r="AE182" s="323" t="s">
        <v>4</v>
      </c>
      <c r="AF182" s="323">
        <f>W181/1000</f>
        <v>0</v>
      </c>
      <c r="AG182" s="323"/>
      <c r="AH182" s="323"/>
      <c r="AI182" s="323" t="str">
        <f>'LCA data'!$B$105</f>
        <v>Loftsbeklædning</v>
      </c>
      <c r="AJ182" s="323">
        <f>VLOOKUP(E185,Pris.loft.beklædning[],2,0)*C185</f>
        <v>0</v>
      </c>
      <c r="AK182" s="323">
        <f>VLOOKUP(J185,Pris.loft.beklædning[],2,0)*C185</f>
        <v>0</v>
      </c>
      <c r="AL182" s="323"/>
      <c r="AM182" s="323"/>
      <c r="AN182" s="323">
        <f>IF(E182="Angiv ikke",0,((1+H182)*VLOOKUP(B182&amp;"_"&amp;E182,'LCA data'!$B$7:$X$360,20,FALSE)*(F182*10^3)*C182))</f>
        <v>0</v>
      </c>
      <c r="AO182" s="323">
        <f>IF(J182="Angiv ikke",0,((1+M182)*VLOOKUP(B182&amp;"_"&amp;J182,'LCA data'!$B$7:$X$360,20,FALSE)*(K182*10^3)*C182))</f>
        <v>0</v>
      </c>
      <c r="AP182" s="323"/>
      <c r="AQ182" s="323"/>
      <c r="AR182" s="323">
        <f>IF(E182="Angiv ikke",0,((1+H182)*VLOOKUP(B182&amp;"_"&amp;E182,'LCA data'!$B$7:$AA$360,26,FALSE)*(F182*10^3)*C182))</f>
        <v>0</v>
      </c>
      <c r="AS182" s="323">
        <f>IF(J182="Angiv ikke",0,((1+M182)*VLOOKUP(B182&amp;"_"&amp;J182,'LCA data'!$B$7:$AA$360,26,FALSE)*(K182*10^3)*C182))</f>
        <v>0</v>
      </c>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c r="BN182" s="323"/>
      <c r="BO182" s="323"/>
      <c r="BP182" s="323"/>
      <c r="BQ182" s="323"/>
      <c r="BR182" s="323"/>
      <c r="BS182" s="323"/>
      <c r="BT182" s="323"/>
      <c r="BU182" s="323"/>
      <c r="BV182" s="323"/>
      <c r="BW182" s="323"/>
      <c r="BX182" s="323"/>
      <c r="BY182" s="323"/>
      <c r="BZ182" s="323"/>
      <c r="CA182" s="323"/>
      <c r="CB182" s="323"/>
      <c r="CC182" s="323"/>
      <c r="CD182" s="323"/>
      <c r="CE182" s="323"/>
      <c r="CF182" s="323"/>
      <c r="CG182" s="323"/>
      <c r="CH182" s="323"/>
      <c r="CI182" s="323"/>
      <c r="CJ182" s="323"/>
      <c r="CK182" s="323"/>
      <c r="CL182" s="323"/>
      <c r="CM182" s="323"/>
      <c r="CN182" s="323"/>
      <c r="CO182" s="323"/>
      <c r="CP182" s="442"/>
      <c r="CQ182" s="438"/>
      <c r="CR182" s="323"/>
      <c r="CS182" s="323"/>
      <c r="CT182" s="323"/>
      <c r="CU182" s="323"/>
      <c r="CV182" s="323"/>
      <c r="CW182" s="323"/>
      <c r="CX182" s="323"/>
      <c r="CY182" s="323"/>
      <c r="CZ182" s="323"/>
      <c r="EK182" s="1070"/>
      <c r="EL182" s="1070"/>
      <c r="EM182" s="1070"/>
      <c r="EN182" s="1070"/>
      <c r="EO182" s="1070"/>
      <c r="EP182" s="1070"/>
      <c r="EQ182" s="1070"/>
    </row>
    <row r="183" spans="2:222" ht="40.4" hidden="1" customHeight="1" outlineLevel="1" x14ac:dyDescent="0.35">
      <c r="B183" s="208" t="str">
        <f>'LCA data'!B$32</f>
        <v>Isolering</v>
      </c>
      <c r="C183" s="466">
        <f t="shared" ref="C183:C185" si="16">$C$180*$C$44</f>
        <v>0</v>
      </c>
      <c r="D183" s="168" t="s">
        <v>103</v>
      </c>
      <c r="E183" s="342" t="str">
        <f>IF($D$181=$D$82,D183,VLOOKUP(B183,Auto_Tag[],VLOOKUP($D$181,Type_Tung_Middel_Let[],2,0),0))</f>
        <v>Angiv ikke</v>
      </c>
      <c r="F183" s="11">
        <v>0.4</v>
      </c>
      <c r="G183" s="473" t="str">
        <f>VLOOKUP(E183,Isoleringsmateriale[],2,0)</f>
        <v>?</v>
      </c>
      <c r="H183" s="351" t="str">
        <f>IFERROR(IF(VLOOKUP(B183&amp;"_"&amp;E183,'LCA data'!$B$7:$X$200,2,FALSE)&lt;$Y$24,1,0)+IF(VLOOKUP(B183&amp;"_"&amp;E183,'LCA data'!$B$7:$X$200,2,FALSE)*2&lt;$Y$24,1,0),"")</f>
        <v/>
      </c>
      <c r="I183" s="168" t="s">
        <v>103</v>
      </c>
      <c r="J183" s="342" t="str">
        <f>IF($I$181=$D$82,I183,VLOOKUP(B183,Auto_Tag[],VLOOKUP($I$181,Type_Tung_Middel_Let[],2,0),0))</f>
        <v>Angiv ikke</v>
      </c>
      <c r="K183" s="11">
        <v>0.4</v>
      </c>
      <c r="L183" s="473" t="str">
        <f>VLOOKUP(J183,Isoleringsmateriale[],2,0)</f>
        <v>?</v>
      </c>
      <c r="M183" s="515" t="str">
        <f>IFERROR(IF(VLOOKUP(B183&amp;"_"&amp;J183,'LCA data'!$B$7:$X$200,2,FALSE)&lt;$Y$24,1,0)+IF(VLOOKUP(B183&amp;"_"&amp;J183,'LCA data'!$B$7:$X$200,2,FALSE)*2&lt;$Y$24,1,0),"")</f>
        <v/>
      </c>
      <c r="N183" s="206">
        <f>W183/1000</f>
        <v>0</v>
      </c>
      <c r="O183" s="878"/>
      <c r="P183" s="207">
        <f>X183/1000</f>
        <v>0</v>
      </c>
      <c r="Q183" s="889"/>
      <c r="R183" s="192"/>
      <c r="S183" s="196"/>
      <c r="V183" s="251"/>
      <c r="W183" s="323">
        <f>IF(E183="Angiv ikke",0,((1+H183)*VLOOKUP(B183&amp;"_"&amp;E183,'LCA data'!$B$7:$X$360,19,FALSE)*(F183*10^3)*C183))</f>
        <v>0</v>
      </c>
      <c r="X183" s="323">
        <f>IF(J183="Angiv ikke",0,((1+M183)*VLOOKUP(B183&amp;"_"&amp;J183,'LCA data'!$B$7:$X$360,19,FALSE)*(K183*10^3)*C183))</f>
        <v>0</v>
      </c>
      <c r="Y183" s="323">
        <f>IF(G183="_",0,AC182*$J$21*$Y$24)</f>
        <v>0</v>
      </c>
      <c r="Z183" s="323">
        <f>IF(L183="_",0,AC183*$J$21*$Y$24)</f>
        <v>0</v>
      </c>
      <c r="AA183" s="323" t="s">
        <v>5</v>
      </c>
      <c r="AB183" s="323">
        <f>AG183/$J$21/$Y$24*1000</f>
        <v>0</v>
      </c>
      <c r="AC183" s="323">
        <f>Varmetab!I76</f>
        <v>0</v>
      </c>
      <c r="AD183" s="323">
        <f>AB183+AC183</f>
        <v>0</v>
      </c>
      <c r="AE183" s="323" t="s">
        <v>5</v>
      </c>
      <c r="AF183" s="323"/>
      <c r="AG183" s="323">
        <f>X181/1000</f>
        <v>0</v>
      </c>
      <c r="AH183" s="323"/>
      <c r="AI183" s="323" t="s">
        <v>743</v>
      </c>
      <c r="AJ183" s="323">
        <f>SUM(AJ179:AJ182)</f>
        <v>0</v>
      </c>
      <c r="AK183" s="323">
        <f>SUM(AK179:AK182)</f>
        <v>0</v>
      </c>
      <c r="AL183" s="323"/>
      <c r="AM183" s="323"/>
      <c r="AN183" s="323">
        <f>IF(E183="Angiv ikke",0,((1+H183)*VLOOKUP(B183&amp;"_"&amp;E183,'LCA data'!$B$7:$X$360,20,FALSE)*(F183*10^3)*C183))</f>
        <v>0</v>
      </c>
      <c r="AO183" s="323">
        <f>IF(J183="Angiv ikke",0,((1+M183)*VLOOKUP(B183&amp;"_"&amp;J183,'LCA data'!$B$7:$X$360,20,FALSE)*(K183*10^3)*C183))</f>
        <v>0</v>
      </c>
      <c r="AP183" s="323"/>
      <c r="AQ183" s="323"/>
      <c r="AR183" s="323">
        <f>IF(E183="Angiv ikke",0,((1+H183)*VLOOKUP(B183&amp;"_"&amp;E183,'LCA data'!$B$7:$AA$360,26,FALSE)*(F183*10^3)*C183))</f>
        <v>0</v>
      </c>
      <c r="AS183" s="323">
        <f>IF(J183="Angiv ikke",0,((1+M183)*VLOOKUP(B183&amp;"_"&amp;J183,'LCA data'!$B$7:$AA$360,26,FALSE)*(K183*10^3)*C183))</f>
        <v>0</v>
      </c>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c r="BN183" s="323"/>
      <c r="BO183" s="323"/>
      <c r="BP183" s="323"/>
      <c r="BQ183" s="323"/>
      <c r="BR183" s="323"/>
      <c r="BS183" s="323"/>
      <c r="BT183" s="323"/>
      <c r="BU183" s="323"/>
      <c r="BV183" s="323"/>
      <c r="BW183" s="323"/>
      <c r="BX183" s="323"/>
      <c r="BY183" s="323"/>
      <c r="BZ183" s="323"/>
      <c r="CA183" s="323"/>
      <c r="CB183" s="323"/>
      <c r="CC183" s="323"/>
      <c r="CD183" s="323"/>
      <c r="CE183" s="323"/>
      <c r="CF183" s="323"/>
      <c r="CG183" s="323"/>
      <c r="CH183" s="323"/>
      <c r="CI183" s="323"/>
      <c r="CJ183" s="323"/>
      <c r="CK183" s="323"/>
      <c r="CL183" s="323"/>
      <c r="CM183" s="323"/>
      <c r="CN183" s="323"/>
      <c r="CO183" s="323"/>
      <c r="CP183" s="439"/>
      <c r="CQ183" s="440"/>
      <c r="CR183" s="323"/>
      <c r="CS183" s="323"/>
      <c r="CT183" s="323"/>
      <c r="CU183" s="323"/>
      <c r="CV183" s="323"/>
      <c r="CW183" s="323"/>
      <c r="CX183" s="323"/>
      <c r="CY183" s="323"/>
      <c r="CZ183" s="323"/>
      <c r="EK183" s="1070"/>
      <c r="EL183" s="1070"/>
      <c r="EM183" s="1070"/>
      <c r="EN183" s="1070"/>
      <c r="EO183" s="1070"/>
      <c r="EP183" s="1070"/>
      <c r="EQ183" s="1070"/>
    </row>
    <row r="184" spans="2:222" ht="40.4" hidden="1" customHeight="1" outlineLevel="1" thickBot="1" x14ac:dyDescent="0.4">
      <c r="B184" s="205" t="str">
        <f>'LCA data'!$B$93</f>
        <v>Tagkonstruktion</v>
      </c>
      <c r="C184" s="668">
        <f t="shared" si="16"/>
        <v>0</v>
      </c>
      <c r="D184" s="169" t="s">
        <v>103</v>
      </c>
      <c r="E184" s="342" t="str">
        <f>IF($D$181=$D$82,D184,VLOOKUP(B184,Auto_Tag[],VLOOKUP($D$181,Type_Tung_Middel_Let[],2,0),0))</f>
        <v>Angiv ikke</v>
      </c>
      <c r="F184" s="172">
        <f>IF(E184="Betonhuldæk",(VLOOKUP(E184,Pris.tag.konstruktion[],4,0)/1000),F183)</f>
        <v>0.4</v>
      </c>
      <c r="G184" s="350"/>
      <c r="H184" s="351" t="str">
        <f>IFERROR(IF(VLOOKUP(B184&amp;"_"&amp;E184,'LCA data'!$B$7:$X$200,2,FALSE)&lt;$Y$24,1,0)+IF(VLOOKUP(B184&amp;"_"&amp;E184,'LCA data'!$B$7:$X$200,2,FALSE)*2&lt;$Y$24,1,0),"")</f>
        <v/>
      </c>
      <c r="I184" s="169" t="s">
        <v>103</v>
      </c>
      <c r="J184" s="342" t="str">
        <f>IF($I$181=$D$82,I184,VLOOKUP(B184,Auto_Tag[],VLOOKUP($I$181,Type_Tung_Middel_Let[],2,0),0))</f>
        <v>Angiv ikke</v>
      </c>
      <c r="K184" s="172">
        <f>IF(OR(J184="Betonhuldæk",J184="CLT"),(VLOOKUP(J184,Pris.tag.konstruktion[],4,0)/1000),K183)</f>
        <v>0.4</v>
      </c>
      <c r="L184" s="514"/>
      <c r="M184" s="515" t="str">
        <f>IFERROR(IF(VLOOKUP(B184&amp;"_"&amp;J184,'LCA data'!$B$7:$X$200,2,FALSE)&lt;$Y$24,1,0)+IF(VLOOKUP(B184&amp;"_"&amp;J184,'LCA data'!$B$7:$X$200,2,FALSE)*2&lt;$Y$24,1,0),"")</f>
        <v/>
      </c>
      <c r="N184" s="206">
        <f>W184/1000</f>
        <v>0</v>
      </c>
      <c r="O184" s="878"/>
      <c r="P184" s="207">
        <f>X184/1000</f>
        <v>0</v>
      </c>
      <c r="Q184" s="889"/>
      <c r="R184" s="192"/>
      <c r="S184" s="196"/>
      <c r="V184" s="251"/>
      <c r="W184" s="323">
        <f>IF(E184="Angiv ikke",0,((1+H184)*VLOOKUP(B184&amp;"_"&amp;E184,'LCA data'!$B$7:$X$360,19,FALSE)*(F184*10^3)*C184))</f>
        <v>0</v>
      </c>
      <c r="X184" s="323">
        <f>IF(J184="Angiv ikke",0,((1+M184)*VLOOKUP(B184&amp;"_"&amp;J184,'LCA data'!$B$7:$X$360,19,FALSE)*(K184*10^3)*C184))</f>
        <v>0</v>
      </c>
      <c r="Y184" s="323"/>
      <c r="Z184" s="323"/>
      <c r="AA184" s="323"/>
      <c r="AB184" s="323"/>
      <c r="AC184" s="323"/>
      <c r="AD184" s="323"/>
      <c r="AE184" s="323"/>
      <c r="AF184" s="323"/>
      <c r="AG184" s="323"/>
      <c r="AH184" s="323"/>
      <c r="AI184" s="323"/>
      <c r="AJ184" s="323"/>
      <c r="AK184" s="323" t="str">
        <f>IFERROR(IF(M184&gt;0,VLOOKUP(B184&amp;"_"&amp;J184,'LCA data'!$B$7:$X$200,19,FALSE)*(K184*10^3)*C184,""),"")</f>
        <v/>
      </c>
      <c r="AL184" s="323"/>
      <c r="AM184" s="323"/>
      <c r="AN184" s="323">
        <f>IF(E184="Angiv ikke",0,((1+H184)*VLOOKUP(B184&amp;"_"&amp;E184,'LCA data'!$B$7:$X$360,20,FALSE)*(F184*10^3)*C184))</f>
        <v>0</v>
      </c>
      <c r="AO184" s="323">
        <f>IF(J184="Angiv ikke",0,((1+M184)*VLOOKUP(B184&amp;"_"&amp;J184,'LCA data'!$B$7:$X$360,20,FALSE)*(K184*10^3)*C184))</f>
        <v>0</v>
      </c>
      <c r="AP184" s="323"/>
      <c r="AQ184" s="323"/>
      <c r="AR184" s="323">
        <f>IF(E184="Angiv ikke",0,((1+H184)*VLOOKUP(B184&amp;"_"&amp;E184,'LCA data'!$B$7:$AA$360,26,FALSE)*(F184*10^3)*C184))</f>
        <v>0</v>
      </c>
      <c r="AS184" s="323">
        <f>IF(J184="Angiv ikke",0,((1+M184)*VLOOKUP(B184&amp;"_"&amp;J184,'LCA data'!$B$7:$AA$360,26,FALSE)*(K184*10^3)*C184))</f>
        <v>0</v>
      </c>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c r="BN184" s="323"/>
      <c r="BO184" s="323"/>
      <c r="BP184" s="323"/>
      <c r="BQ184" s="323"/>
      <c r="BR184" s="323"/>
      <c r="BS184" s="323"/>
      <c r="BT184" s="323"/>
      <c r="BU184" s="323"/>
      <c r="BV184" s="323"/>
      <c r="BW184" s="323"/>
      <c r="BX184" s="323"/>
      <c r="BY184" s="323"/>
      <c r="BZ184" s="323"/>
      <c r="CA184" s="323"/>
      <c r="CB184" s="323"/>
      <c r="CC184" s="323"/>
      <c r="CD184" s="323"/>
      <c r="CE184" s="323"/>
      <c r="CF184" s="323"/>
      <c r="CG184" s="323"/>
      <c r="CH184" s="323"/>
      <c r="CI184" s="323"/>
      <c r="CJ184" s="323"/>
      <c r="CK184" s="323"/>
      <c r="CL184" s="323"/>
      <c r="CM184" s="323"/>
      <c r="CN184" s="323"/>
      <c r="CO184" s="323"/>
      <c r="CP184" s="663"/>
      <c r="CQ184" s="440"/>
      <c r="CR184" s="323"/>
      <c r="CS184" s="323"/>
      <c r="CT184" s="323"/>
      <c r="CU184" s="323"/>
      <c r="CV184" s="323"/>
      <c r="CW184" s="323"/>
      <c r="CX184" s="323"/>
      <c r="CY184" s="323"/>
      <c r="CZ184" s="323"/>
      <c r="EK184" s="1070"/>
      <c r="EL184" s="1070"/>
      <c r="EM184" s="1070"/>
      <c r="EN184" s="1070"/>
      <c r="EO184" s="1070"/>
      <c r="EP184" s="1070"/>
      <c r="EQ184" s="1070"/>
    </row>
    <row r="185" spans="2:222" ht="40.4" hidden="1" customHeight="1" outlineLevel="1" thickBot="1" x14ac:dyDescent="0.4">
      <c r="B185" s="209" t="str">
        <f>'LCA data'!$B$105</f>
        <v>Loftsbeklædning</v>
      </c>
      <c r="C185" s="667">
        <f t="shared" si="16"/>
        <v>0</v>
      </c>
      <c r="D185" s="171" t="s">
        <v>103</v>
      </c>
      <c r="E185" s="382" t="str">
        <f>IF($D$181=$D$82,D185,VLOOKUP(B185,Auto_Tag[],VLOOKUP($D$181,Type_Tung_Middel_Let[],2,0),0))</f>
        <v>Angiv ikke</v>
      </c>
      <c r="F185" s="474">
        <f>(VLOOKUP(E185,Pris.loft.beklædning[],4,0))/1000</f>
        <v>0</v>
      </c>
      <c r="G185" s="354"/>
      <c r="H185" s="355" t="str">
        <f>IFERROR(IF(VLOOKUP(B185&amp;"_"&amp;E185,'LCA data'!$B$7:$X$200,2,FALSE)&lt;$Y$24,1,0)+IF(VLOOKUP(B185&amp;"_"&amp;E185,'LCA data'!$B$7:$X$200,2,FALSE)*2&lt;$Y$24,1,0),"")</f>
        <v/>
      </c>
      <c r="I185" s="171" t="s">
        <v>103</v>
      </c>
      <c r="J185" s="382" t="str">
        <f>IF($I$181=$D$82,I185,VLOOKUP(B185,Auto_Tag[],VLOOKUP($I$181,Type_Tung_Middel_Let[],2,0),0))</f>
        <v>Angiv ikke</v>
      </c>
      <c r="K185" s="522">
        <f>(VLOOKUP(J185,Pris.loft.beklædning[],4,0))/1000</f>
        <v>0</v>
      </c>
      <c r="L185" s="519"/>
      <c r="M185" s="520" t="str">
        <f>IFERROR(IF(VLOOKUP(B185&amp;"_"&amp;J185,'LCA data'!$B$7:$X$200,2,FALSE)&lt;$Y$24,1,0)+IF(VLOOKUP(B185&amp;"_"&amp;J185,'LCA data'!$B$7:$X$200,2,FALSE)*2&lt;$Y$24,1,0),"")</f>
        <v/>
      </c>
      <c r="N185" s="210">
        <f>W185/1000</f>
        <v>0</v>
      </c>
      <c r="O185" s="879"/>
      <c r="P185" s="211">
        <f>X185/1000</f>
        <v>0</v>
      </c>
      <c r="Q185" s="890"/>
      <c r="R185" s="212"/>
      <c r="S185" s="213"/>
      <c r="V185" s="251"/>
      <c r="W185" s="323">
        <f>IF(E185="Angiv ikke",0,((1+H185)*VLOOKUP(B185&amp;"_"&amp;E185,'LCA data'!$B$7:$X$360,19,FALSE)*(F185*10^3)*C185))</f>
        <v>0</v>
      </c>
      <c r="X185" s="323">
        <f>IF(J185="Angiv ikke",0,((1+M185)*VLOOKUP(B185&amp;"_"&amp;J185,'LCA data'!$B$7:$X$360,19,FALSE)*(K185*10^3)*C185))</f>
        <v>0</v>
      </c>
      <c r="Y185" s="323"/>
      <c r="Z185" s="323"/>
      <c r="AA185" s="323"/>
      <c r="AB185" s="323"/>
      <c r="AC185" s="323"/>
      <c r="AD185" s="323"/>
      <c r="AE185" s="323"/>
      <c r="AF185" s="323"/>
      <c r="AG185" s="323"/>
      <c r="AH185" s="323"/>
      <c r="AI185" s="323"/>
      <c r="AJ185" s="323"/>
      <c r="AK185" s="323"/>
      <c r="AL185" s="323"/>
      <c r="AM185" s="323"/>
      <c r="AN185" s="323">
        <f>IF(E185="Angiv ikke",0,((1+H185)*VLOOKUP(B185&amp;"_"&amp;E185,'LCA data'!$B$7:$X$360,20,FALSE)*(F185*10^3)*C185))</f>
        <v>0</v>
      </c>
      <c r="AO185" s="323">
        <f>IF(J185="Angiv ikke",0,((1+M185)*VLOOKUP(B185&amp;"_"&amp;J185,'LCA data'!$B$7:$X$360,20,FALSE)*(K185*10^3)*C185))</f>
        <v>0</v>
      </c>
      <c r="AP185" s="323"/>
      <c r="AQ185" s="323"/>
      <c r="AR185" s="323">
        <f>IF(E185="Angiv ikke",0,((1+H185)*VLOOKUP(B185&amp;"_"&amp;E185,'LCA data'!$B$7:$AA$360,26,FALSE)*(F185*10^3)*C185))</f>
        <v>0</v>
      </c>
      <c r="AS185" s="323">
        <f>IF(J185="Angiv ikke",0,((1+M185)*VLOOKUP(B185&amp;"_"&amp;J185,'LCA data'!$B$7:$AA$360,26,FALSE)*(K185*10^3)*C185))</f>
        <v>0</v>
      </c>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c r="BN185" s="323"/>
      <c r="BO185" s="323"/>
      <c r="BP185" s="323"/>
      <c r="BQ185" s="323"/>
      <c r="BR185" s="323"/>
      <c r="BS185" s="323"/>
      <c r="BT185" s="323"/>
      <c r="BU185" s="323"/>
      <c r="BV185" s="323"/>
      <c r="BW185" s="323"/>
      <c r="BX185" s="323"/>
      <c r="BY185" s="323"/>
      <c r="BZ185" s="323"/>
      <c r="CA185" s="323"/>
      <c r="CB185" s="323"/>
      <c r="CC185" s="323"/>
      <c r="CD185" s="323"/>
      <c r="CE185" s="323"/>
      <c r="CF185" s="323"/>
      <c r="CG185" s="323"/>
      <c r="CH185" s="323"/>
      <c r="CI185" s="323"/>
      <c r="CJ185" s="323"/>
      <c r="CK185" s="323"/>
      <c r="CL185" s="323"/>
      <c r="CM185" s="323"/>
      <c r="CN185" s="323"/>
      <c r="CO185" s="323"/>
      <c r="CP185" s="1144" t="s">
        <v>77</v>
      </c>
      <c r="CQ185" s="1145"/>
      <c r="CR185" s="323"/>
      <c r="CS185" s="323"/>
      <c r="CT185" s="323"/>
      <c r="CU185" s="323"/>
      <c r="CV185" s="323"/>
      <c r="CW185" s="323"/>
      <c r="CX185" s="323"/>
      <c r="CY185" s="323"/>
      <c r="CZ185" s="323"/>
      <c r="EK185" s="1070"/>
      <c r="EL185" s="1070"/>
      <c r="EM185" s="1070"/>
      <c r="EN185" s="1070"/>
      <c r="EO185" s="1070"/>
      <c r="EP185" s="1070"/>
      <c r="EQ185" s="1070"/>
    </row>
    <row r="186" spans="2:222" ht="13.5" hidden="1" customHeight="1" outlineLevel="1" x14ac:dyDescent="0.45">
      <c r="N186" s="218"/>
      <c r="P186" s="216"/>
      <c r="Q186" s="220"/>
      <c r="R186" s="217"/>
      <c r="V186" s="251"/>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c r="BN186" s="323"/>
      <c r="BO186" s="323"/>
      <c r="BP186" s="323"/>
      <c r="BQ186" s="323"/>
      <c r="BR186" s="323"/>
      <c r="BS186" s="323"/>
      <c r="BT186" s="323"/>
      <c r="BU186" s="323"/>
      <c r="BV186" s="323"/>
      <c r="BW186" s="323"/>
      <c r="BX186" s="323"/>
      <c r="BY186" s="323"/>
      <c r="BZ186" s="323"/>
      <c r="CA186" s="323"/>
      <c r="CB186" s="323"/>
      <c r="CC186" s="323"/>
      <c r="CD186" s="323"/>
      <c r="CE186" s="323"/>
      <c r="CF186" s="323"/>
      <c r="CG186" s="323"/>
      <c r="CH186" s="323"/>
      <c r="CI186" s="323"/>
      <c r="CJ186" s="323"/>
      <c r="CK186" s="323"/>
      <c r="CL186" s="323"/>
      <c r="CM186" s="323"/>
      <c r="CN186" s="323"/>
      <c r="CO186" s="323"/>
      <c r="CP186" s="431"/>
      <c r="CQ186" s="432"/>
      <c r="CR186" s="323"/>
      <c r="CS186" s="323"/>
      <c r="CT186" s="323"/>
      <c r="CU186" s="323"/>
      <c r="CV186" s="323"/>
      <c r="CW186" s="323"/>
      <c r="CX186" s="323"/>
      <c r="CY186" s="323"/>
      <c r="CZ186" s="323"/>
      <c r="EK186" s="1070"/>
      <c r="EL186" s="1070"/>
      <c r="EM186" s="1070"/>
      <c r="EN186" s="1070"/>
      <c r="EO186" s="1070"/>
      <c r="EP186" s="1070"/>
      <c r="EQ186" s="1070"/>
    </row>
    <row r="187" spans="2:222" ht="18.649999999999999" customHeight="1" collapsed="1" thickBot="1" x14ac:dyDescent="0.4">
      <c r="B187" s="554"/>
      <c r="C187" s="554"/>
      <c r="D187" s="542"/>
      <c r="E187" s="553"/>
      <c r="F187" s="553"/>
      <c r="G187" s="553"/>
      <c r="H187" s="553"/>
      <c r="I187" s="542"/>
      <c r="J187" s="553"/>
      <c r="K187" s="553"/>
      <c r="L187" s="553"/>
      <c r="M187" s="553"/>
      <c r="N187" s="229"/>
      <c r="O187" s="229"/>
      <c r="P187" s="230"/>
      <c r="Q187" s="375"/>
      <c r="R187" s="217"/>
      <c r="S187" s="240"/>
      <c r="T187" s="175"/>
      <c r="V187" s="251"/>
      <c r="W187" s="323"/>
      <c r="X187" s="323"/>
      <c r="Y187" s="323"/>
      <c r="Z187" s="323"/>
      <c r="AA187" s="323"/>
      <c r="AB187" s="323"/>
      <c r="AC187" s="323"/>
      <c r="AD187" s="323"/>
      <c r="AE187" s="323"/>
      <c r="AF187" s="323"/>
      <c r="AG187" s="323"/>
      <c r="AH187" s="323"/>
      <c r="AI187" s="323"/>
      <c r="AJ187" s="323"/>
      <c r="AK187" s="323" t="str">
        <f>IFERROR(IF(M187&gt;0,VLOOKUP(B187&amp;"_"&amp;J187,'LCA data'!$B$7:$X$200,19,FALSE)*(K187*10^3)*C187,""),"")</f>
        <v/>
      </c>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c r="BN187" s="323"/>
      <c r="BO187" s="323"/>
      <c r="BP187" s="323"/>
      <c r="BQ187" s="323"/>
      <c r="BR187" s="323"/>
      <c r="BS187" s="323"/>
      <c r="BT187" s="323"/>
      <c r="BU187" s="323"/>
      <c r="BV187" s="323"/>
      <c r="BW187" s="323"/>
      <c r="BX187" s="323"/>
      <c r="BY187" s="323"/>
      <c r="BZ187" s="323"/>
      <c r="CA187" s="323"/>
      <c r="CB187" s="323"/>
      <c r="CC187" s="323"/>
      <c r="CD187" s="323"/>
      <c r="CE187" s="323"/>
      <c r="CF187" s="323"/>
      <c r="CG187" s="323"/>
      <c r="CH187" s="323"/>
      <c r="CI187" s="323"/>
      <c r="CJ187" s="323"/>
      <c r="CK187" s="323"/>
      <c r="CL187" s="323"/>
      <c r="CM187" s="323"/>
      <c r="CN187" s="323"/>
      <c r="CO187" s="323"/>
      <c r="CP187" s="431"/>
      <c r="CQ187" s="433"/>
      <c r="CR187" s="323"/>
      <c r="CS187" s="323"/>
      <c r="CT187" s="323"/>
      <c r="CU187" s="323"/>
      <c r="CV187" s="323"/>
      <c r="CW187" s="323"/>
      <c r="CX187" s="323"/>
      <c r="CY187" s="323"/>
      <c r="CZ187" s="323"/>
      <c r="EK187" s="1070"/>
      <c r="EL187" s="1070"/>
      <c r="EM187" s="1070"/>
      <c r="EN187" s="1070"/>
      <c r="EO187" s="1070"/>
      <c r="EP187" s="1070"/>
      <c r="EQ187" s="1070"/>
    </row>
    <row r="188" spans="2:222" ht="44.25" customHeight="1" x14ac:dyDescent="0.7">
      <c r="B188" s="484" t="s">
        <v>117</v>
      </c>
      <c r="C188" s="481"/>
      <c r="D188" s="481"/>
      <c r="E188" s="481"/>
      <c r="F188" s="481"/>
      <c r="G188" s="481"/>
      <c r="H188" s="481"/>
      <c r="I188" s="481"/>
      <c r="J188" s="481"/>
      <c r="K188" s="481"/>
      <c r="L188" s="481"/>
      <c r="M188" s="481"/>
      <c r="N188" s="481"/>
      <c r="O188" s="481"/>
      <c r="P188" s="481"/>
      <c r="Q188" s="481"/>
      <c r="R188" s="481"/>
      <c r="S188" s="482"/>
      <c r="V188" s="251"/>
      <c r="W188" s="323"/>
      <c r="X188" s="323"/>
      <c r="Y188" s="323"/>
      <c r="Z188" s="323"/>
      <c r="AA188" s="323"/>
      <c r="AB188" s="323"/>
      <c r="AC188" s="323"/>
      <c r="AD188" s="323"/>
      <c r="AE188" s="323"/>
      <c r="AF188" s="323"/>
      <c r="AG188" s="323"/>
      <c r="AH188" s="323"/>
      <c r="AI188" s="323"/>
      <c r="AJ188" s="323" t="s">
        <v>746</v>
      </c>
      <c r="AK188" s="323" t="s">
        <v>747</v>
      </c>
      <c r="AL188" s="323" t="str">
        <f>IFERROR(AJ188+VLOOKUP(B188&amp;"_"&amp;J188,'LCA data'!$B$7:$X$238,2,FALSE),"")</f>
        <v/>
      </c>
      <c r="AM188" s="323" t="str">
        <f>IFERROR(IF(M188-1&gt;0,VLOOKUP(B188&amp;"_"&amp;J188,'LCA data'!$B$7:$X$200,19,FALSE)*(K188*10^3)*C188,""),"")</f>
        <v/>
      </c>
      <c r="AN188" s="323" t="str">
        <f>IFERROR(AL188+VLOOKUP(B188&amp;"_"&amp;J188,'LCA data'!$B$7:$X$238,2,FALSE),"")</f>
        <v/>
      </c>
      <c r="AO188" s="323" t="str">
        <f>IFERROR(IF(M188-2&gt;0,VLOOKUP(B188&amp;"_"&amp;J188,'LCA data'!$B$7:$X$200,19,FALSE)*(K188*10^3)*C188,""),"")</f>
        <v/>
      </c>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c r="BM188" s="323"/>
      <c r="BN188" s="323"/>
      <c r="BO188" s="323"/>
      <c r="BP188" s="323"/>
      <c r="BQ188" s="323"/>
      <c r="BR188" s="323"/>
      <c r="BS188" s="323"/>
      <c r="BT188" s="323"/>
      <c r="BU188" s="323"/>
      <c r="BV188" s="323"/>
      <c r="BW188" s="323"/>
      <c r="BX188" s="323"/>
      <c r="BY188" s="323"/>
      <c r="BZ188" s="323"/>
      <c r="CA188" s="323"/>
      <c r="CB188" s="323"/>
      <c r="CC188" s="323"/>
      <c r="CD188" s="323"/>
      <c r="CE188" s="323"/>
      <c r="CF188" s="323"/>
      <c r="CG188" s="323"/>
      <c r="CH188" s="323"/>
      <c r="CI188" s="323"/>
      <c r="CJ188" s="323"/>
      <c r="CK188" s="323"/>
      <c r="CL188" s="323"/>
      <c r="CM188" s="323"/>
      <c r="CN188" s="323"/>
      <c r="CO188" s="323"/>
      <c r="CP188" s="431"/>
      <c r="CQ188" s="434"/>
      <c r="CR188" s="323"/>
      <c r="CS188" s="323"/>
      <c r="CT188" s="323"/>
      <c r="CU188" s="323"/>
      <c r="CV188" s="323"/>
      <c r="CW188" s="323"/>
      <c r="CX188" s="323"/>
      <c r="CY188" s="323"/>
      <c r="CZ188" s="323"/>
      <c r="EK188" s="1070"/>
      <c r="EL188" s="1070"/>
      <c r="EM188" s="1070"/>
      <c r="EN188" s="1070"/>
      <c r="EO188" s="1070"/>
      <c r="EP188" s="1070"/>
      <c r="EQ188" s="1070"/>
    </row>
    <row r="189" spans="2:222" ht="13.4" customHeight="1" x14ac:dyDescent="0.35">
      <c r="B189" s="376"/>
      <c r="C189" s="372"/>
      <c r="E189" s="228"/>
      <c r="F189" s="228"/>
      <c r="G189" s="228"/>
      <c r="H189" s="228"/>
      <c r="J189" s="228"/>
      <c r="K189" s="228"/>
      <c r="L189" s="228"/>
      <c r="M189" s="228"/>
      <c r="N189" s="229"/>
      <c r="O189" s="229"/>
      <c r="P189" s="230"/>
      <c r="Q189" s="375"/>
      <c r="R189" s="217"/>
      <c r="S189" s="231"/>
      <c r="T189" s="175"/>
      <c r="V189" s="251"/>
      <c r="W189" s="323"/>
      <c r="X189" s="323"/>
      <c r="Y189" s="323"/>
      <c r="Z189" s="323"/>
      <c r="AA189" s="323"/>
      <c r="AB189" s="323"/>
      <c r="AC189" s="323"/>
      <c r="AD189" s="323"/>
      <c r="AE189" s="323"/>
      <c r="AF189" s="323"/>
      <c r="AG189" s="323"/>
      <c r="AH189" s="323"/>
      <c r="AI189" s="323" t="s">
        <v>338</v>
      </c>
      <c r="AJ189" s="323">
        <f t="shared" ref="AJ189:AK192" si="17">AJ199+AJ209+AJ219+AJ229+AJ239</f>
        <v>194664</v>
      </c>
      <c r="AK189" s="323">
        <f t="shared" si="17"/>
        <v>194664</v>
      </c>
      <c r="AL189" s="323" t="str">
        <f>IFERROR(AJ189+VLOOKUP(B189&amp;"_"&amp;J189,'LCA data'!$B$7:$X$238,2,FALSE),"")</f>
        <v/>
      </c>
      <c r="AM189" s="323" t="str">
        <f>IFERROR(IF(M189-1&gt;0,VLOOKUP(B189&amp;"_"&amp;J189,'LCA data'!$B$7:$X$200,19,FALSE)*(K189*10^3)*C189,""),"")</f>
        <v/>
      </c>
      <c r="AN189" s="323" t="str">
        <f>IFERROR(AL189+VLOOKUP(B189&amp;"_"&amp;J189,'LCA data'!$B$7:$X$238,2,FALSE),"")</f>
        <v/>
      </c>
      <c r="AO189" s="323" t="str">
        <f>IFERROR(IF(M189-2&gt;0,VLOOKUP(B189&amp;"_"&amp;J189,'LCA data'!$B$7:$X$200,19,FALSE)*(K189*10^3)*C189,""),"")</f>
        <v/>
      </c>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c r="BM189" s="323"/>
      <c r="BN189" s="323"/>
      <c r="BO189" s="323"/>
      <c r="BP189" s="323"/>
      <c r="BQ189" s="323"/>
      <c r="BR189" s="323"/>
      <c r="BS189" s="323"/>
      <c r="BT189" s="323"/>
      <c r="BU189" s="323"/>
      <c r="BV189" s="323"/>
      <c r="BW189" s="323"/>
      <c r="BX189" s="323"/>
      <c r="BY189" s="323"/>
      <c r="BZ189" s="323"/>
      <c r="CA189" s="323"/>
      <c r="CB189" s="323"/>
      <c r="CC189" s="323"/>
      <c r="CD189" s="323"/>
      <c r="CE189" s="323"/>
      <c r="CF189" s="323"/>
      <c r="CG189" s="323"/>
      <c r="CH189" s="323"/>
      <c r="CI189" s="323"/>
      <c r="CJ189" s="323"/>
      <c r="CK189" s="323"/>
      <c r="CL189" s="323"/>
      <c r="CM189" s="323"/>
      <c r="CN189" s="323"/>
      <c r="CO189" s="323"/>
      <c r="CP189" s="431"/>
      <c r="CQ189" s="433"/>
      <c r="CR189" s="323"/>
      <c r="CS189" s="323"/>
      <c r="CT189" s="323"/>
      <c r="CU189" s="323"/>
      <c r="CV189" s="323"/>
      <c r="CW189" s="323"/>
      <c r="CX189" s="323"/>
      <c r="CY189" s="323"/>
      <c r="CZ189" s="323"/>
      <c r="EK189" s="1070"/>
      <c r="EL189" s="1070"/>
      <c r="EM189" s="1070"/>
      <c r="EN189" s="1070"/>
      <c r="EO189" s="1070"/>
      <c r="EP189" s="1070"/>
      <c r="EQ189" s="1070"/>
    </row>
    <row r="190" spans="2:222" ht="25.4" customHeight="1" x14ac:dyDescent="0.35">
      <c r="B190" s="376"/>
      <c r="C190" s="372"/>
      <c r="E190" s="228"/>
      <c r="F190" s="228"/>
      <c r="G190" s="228"/>
      <c r="H190" s="228"/>
      <c r="J190" s="228"/>
      <c r="K190" s="228"/>
      <c r="L190" s="228"/>
      <c r="M190" s="228"/>
      <c r="N190" s="229"/>
      <c r="O190" s="229"/>
      <c r="P190" s="230"/>
      <c r="Q190" s="373"/>
      <c r="R190" s="217"/>
      <c r="S190" s="231"/>
      <c r="T190" s="175"/>
      <c r="V190" s="251"/>
      <c r="W190" s="323"/>
      <c r="X190" s="323"/>
      <c r="Y190" s="323"/>
      <c r="Z190" s="323"/>
      <c r="AA190" s="323"/>
      <c r="AB190" s="323"/>
      <c r="AC190" s="323"/>
      <c r="AD190" s="323"/>
      <c r="AE190" s="323"/>
      <c r="AF190" s="323"/>
      <c r="AG190" s="323"/>
      <c r="AH190" s="323"/>
      <c r="AI190" s="323" t="s">
        <v>209</v>
      </c>
      <c r="AJ190" s="323">
        <f t="shared" si="17"/>
        <v>102783.00000000001</v>
      </c>
      <c r="AK190" s="323">
        <f t="shared" si="17"/>
        <v>58902.857142857145</v>
      </c>
      <c r="AL190" s="323" t="str">
        <f>IFERROR(AJ190+VLOOKUP(B190&amp;"_"&amp;J190,'LCA data'!$B$7:$X$238,2,FALSE),"")</f>
        <v/>
      </c>
      <c r="AM190" s="323" t="str">
        <f>IFERROR(IF(M190-1&gt;0,VLOOKUP(B190&amp;"_"&amp;J190,'LCA data'!$B$7:$X$200,19,FALSE)*(K190*10^3)*C190,""),"")</f>
        <v/>
      </c>
      <c r="AN190" s="323" t="str">
        <f>IFERROR(AL190+VLOOKUP(B190&amp;"_"&amp;J190,'LCA data'!$B$7:$X$238,2,FALSE),"")</f>
        <v/>
      </c>
      <c r="AO190" s="323" t="str">
        <f>IFERROR(IF(M190-2&gt;0,VLOOKUP(B190&amp;"_"&amp;J190,'LCA data'!$B$7:$X$200,19,FALSE)*(K190*10^3)*C190,""),"")</f>
        <v/>
      </c>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c r="BM190" s="323"/>
      <c r="BN190" s="323"/>
      <c r="BO190" s="323"/>
      <c r="BP190" s="323"/>
      <c r="BQ190" s="323"/>
      <c r="BR190" s="323"/>
      <c r="BS190" s="323"/>
      <c r="BT190" s="323"/>
      <c r="BU190" s="323"/>
      <c r="BV190" s="323"/>
      <c r="BW190" s="323"/>
      <c r="BX190" s="323"/>
      <c r="BY190" s="323"/>
      <c r="BZ190" s="323"/>
      <c r="CA190" s="323"/>
      <c r="CB190" s="323"/>
      <c r="CC190" s="323"/>
      <c r="CD190" s="323"/>
      <c r="CE190" s="323"/>
      <c r="CF190" s="323"/>
      <c r="CG190" s="323"/>
      <c r="CH190" s="323"/>
      <c r="CI190" s="323"/>
      <c r="CJ190" s="323"/>
      <c r="CK190" s="323"/>
      <c r="CL190" s="323"/>
      <c r="CM190" s="323"/>
      <c r="CN190" s="323"/>
      <c r="CO190" s="323"/>
      <c r="CP190" s="431"/>
      <c r="CQ190" s="433"/>
      <c r="CR190" s="323"/>
      <c r="CS190" s="323"/>
      <c r="CT190" s="323"/>
      <c r="CU190" s="323"/>
      <c r="CV190" s="323"/>
      <c r="CW190" s="323"/>
      <c r="CX190" s="323"/>
      <c r="CY190" s="323"/>
      <c r="CZ190" s="323"/>
      <c r="EK190" s="1070"/>
      <c r="EL190" s="1070"/>
      <c r="EM190" s="1070"/>
      <c r="EN190" s="1070"/>
      <c r="EO190" s="1070"/>
      <c r="EP190" s="1070"/>
      <c r="EQ190" s="1070"/>
    </row>
    <row r="191" spans="2:222" ht="25.4" customHeight="1" x14ac:dyDescent="0.35">
      <c r="B191" s="376"/>
      <c r="C191" s="372"/>
      <c r="E191" s="228"/>
      <c r="F191" s="228"/>
      <c r="G191" s="228"/>
      <c r="H191" s="228"/>
      <c r="J191" s="228"/>
      <c r="K191" s="228"/>
      <c r="L191" s="228"/>
      <c r="M191" s="228"/>
      <c r="N191" s="229"/>
      <c r="O191" s="229"/>
      <c r="P191" s="230"/>
      <c r="Q191" s="373"/>
      <c r="R191" s="217"/>
      <c r="S191" s="231"/>
      <c r="T191" s="175"/>
      <c r="V191" s="251"/>
      <c r="W191" s="323"/>
      <c r="X191" s="323" t="s">
        <v>746</v>
      </c>
      <c r="Y191" s="323" t="s">
        <v>747</v>
      </c>
      <c r="Z191" s="323"/>
      <c r="AA191" s="323"/>
      <c r="AB191" s="323"/>
      <c r="AC191" s="323"/>
      <c r="AD191" s="323"/>
      <c r="AE191" s="323"/>
      <c r="AF191" s="323"/>
      <c r="AG191" s="323"/>
      <c r="AH191" s="323"/>
      <c r="AI191" s="323" t="s">
        <v>36</v>
      </c>
      <c r="AJ191" s="323">
        <f t="shared" si="17"/>
        <v>96880</v>
      </c>
      <c r="AK191" s="323">
        <f t="shared" si="17"/>
        <v>343660</v>
      </c>
      <c r="AL191" s="323" t="str">
        <f>IFERROR(AJ191+VLOOKUP(B191&amp;"_"&amp;J191,'LCA data'!$B$7:$X$238,2,FALSE),"")</f>
        <v/>
      </c>
      <c r="AM191" s="323" t="str">
        <f>IFERROR(IF(M191-1&gt;0,VLOOKUP(B191&amp;"_"&amp;J191,'LCA data'!$B$7:$X$200,19,FALSE)*(K191*10^3)*C191,""),"")</f>
        <v/>
      </c>
      <c r="AN191" s="323" t="str">
        <f>IFERROR(AL191+VLOOKUP(B191&amp;"_"&amp;J191,'LCA data'!$B$7:$X$238,2,FALSE),"")</f>
        <v/>
      </c>
      <c r="AO191" s="323" t="str">
        <f>IFERROR(IF(M191-2&gt;0,VLOOKUP(B191&amp;"_"&amp;J191,'LCA data'!$B$7:$X$200,19,FALSE)*(K191*10^3)*C191,""),"")</f>
        <v/>
      </c>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c r="BM191" s="323"/>
      <c r="BN191" s="323"/>
      <c r="BO191" s="323"/>
      <c r="BP191" s="323"/>
      <c r="BQ191" s="323"/>
      <c r="BR191" s="323"/>
      <c r="BS191" s="323"/>
      <c r="BT191" s="323"/>
      <c r="BU191" s="323"/>
      <c r="BV191" s="323"/>
      <c r="BW191" s="323"/>
      <c r="BX191" s="323"/>
      <c r="BY191" s="323"/>
      <c r="BZ191" s="323"/>
      <c r="CA191" s="323"/>
      <c r="CB191" s="323"/>
      <c r="CC191" s="323"/>
      <c r="CD191" s="323"/>
      <c r="CE191" s="323"/>
      <c r="CF191" s="323"/>
      <c r="CG191" s="323"/>
      <c r="CH191" s="323"/>
      <c r="CI191" s="323"/>
      <c r="CJ191" s="323"/>
      <c r="CK191" s="323"/>
      <c r="CL191" s="323"/>
      <c r="CM191" s="323"/>
      <c r="CN191" s="323"/>
      <c r="CO191" s="323"/>
      <c r="CP191" s="435"/>
      <c r="CQ191" s="433"/>
      <c r="CR191" s="323"/>
      <c r="CS191" s="323"/>
      <c r="CT191" s="323"/>
      <c r="CU191" s="323"/>
      <c r="CV191" s="323"/>
      <c r="CW191" s="323"/>
      <c r="CX191" s="323"/>
      <c r="CY191" s="323"/>
      <c r="CZ191" s="323"/>
      <c r="EK191" s="1070"/>
      <c r="EL191" s="1070"/>
      <c r="EM191" s="1070"/>
      <c r="EN191" s="1070"/>
      <c r="EO191" s="1070"/>
      <c r="EP191" s="1070"/>
      <c r="EQ191" s="1070"/>
    </row>
    <row r="192" spans="2:222" ht="25.4" customHeight="1" thickBot="1" x14ac:dyDescent="0.4">
      <c r="B192" s="376"/>
      <c r="C192" s="372"/>
      <c r="E192" s="228"/>
      <c r="F192" s="228"/>
      <c r="G192" s="228"/>
      <c r="H192" s="228"/>
      <c r="J192" s="228"/>
      <c r="K192" s="228"/>
      <c r="L192" s="228"/>
      <c r="M192" s="228"/>
      <c r="N192" s="229"/>
      <c r="O192" s="229"/>
      <c r="P192" s="230"/>
      <c r="Q192" s="373"/>
      <c r="R192" s="217"/>
      <c r="S192" s="231"/>
      <c r="T192" s="175"/>
      <c r="V192" s="251"/>
      <c r="W192" s="323" t="s">
        <v>743</v>
      </c>
      <c r="X192" s="323">
        <f>2000*$C$202</f>
        <v>400000</v>
      </c>
      <c r="Y192" s="323">
        <f>2000*$C$202</f>
        <v>400000</v>
      </c>
      <c r="Z192" s="323"/>
      <c r="AA192" s="323"/>
      <c r="AB192" s="323"/>
      <c r="AC192" s="323"/>
      <c r="AD192" s="323"/>
      <c r="AE192" s="323"/>
      <c r="AF192" s="323"/>
      <c r="AG192" s="323"/>
      <c r="AH192" s="323"/>
      <c r="AI192" s="323" t="s">
        <v>800</v>
      </c>
      <c r="AJ192" s="323">
        <f t="shared" si="17"/>
        <v>36748</v>
      </c>
      <c r="AK192" s="323">
        <f t="shared" si="17"/>
        <v>36748</v>
      </c>
      <c r="AL192" s="323" t="str">
        <f>IFERROR(AJ192+VLOOKUP(B192&amp;"_"&amp;J192,'LCA data'!$B$7:$X$238,2,FALSE),"")</f>
        <v/>
      </c>
      <c r="AM192" s="323" t="str">
        <f>IFERROR(IF(M192-1&gt;0,VLOOKUP(B192&amp;"_"&amp;J192,'LCA data'!$B$7:$X$200,19,FALSE)*(K192*10^3)*C192,""),"")</f>
        <v/>
      </c>
      <c r="AN192" s="323" t="str">
        <f>IFERROR(AL192+VLOOKUP(B192&amp;"_"&amp;J192,'LCA data'!$B$7:$X$238,2,FALSE),"")</f>
        <v/>
      </c>
      <c r="AO192" s="323" t="str">
        <f>IFERROR(IF(M192-2&gt;0,VLOOKUP(B192&amp;"_"&amp;J192,'LCA data'!$B$7:$X$200,19,FALSE)*(K192*10^3)*C192,""),"")</f>
        <v/>
      </c>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c r="BM192" s="323"/>
      <c r="BN192" s="323"/>
      <c r="BO192" s="323"/>
      <c r="BP192" s="323"/>
      <c r="BQ192" s="323"/>
      <c r="BR192" s="323"/>
      <c r="BS192" s="323"/>
      <c r="BT192" s="323"/>
      <c r="BU192" s="323"/>
      <c r="BV192" s="323"/>
      <c r="BW192" s="323"/>
      <c r="BX192" s="323"/>
      <c r="BY192" s="323"/>
      <c r="BZ192" s="323"/>
      <c r="CA192" s="323"/>
      <c r="CB192" s="323"/>
      <c r="CC192" s="323"/>
      <c r="CD192" s="323"/>
      <c r="CE192" s="323"/>
      <c r="CF192" s="323"/>
      <c r="CG192" s="323"/>
      <c r="CH192" s="323"/>
      <c r="CI192" s="323"/>
      <c r="CJ192" s="323"/>
      <c r="CK192" s="323"/>
      <c r="CL192" s="323"/>
      <c r="CM192" s="323"/>
      <c r="CN192" s="323"/>
      <c r="CO192" s="323"/>
      <c r="CP192" s="442"/>
      <c r="CQ192" s="438"/>
      <c r="CR192" s="323"/>
      <c r="CS192" s="323"/>
      <c r="CT192" s="323"/>
      <c r="CU192" s="323"/>
      <c r="CV192" s="323"/>
      <c r="CW192" s="323"/>
      <c r="CX192" s="323"/>
      <c r="CY192" s="323"/>
      <c r="CZ192" s="323"/>
      <c r="EK192" s="1070"/>
      <c r="EL192" s="1070"/>
      <c r="EM192" s="1070"/>
      <c r="EN192" s="1070"/>
      <c r="EO192" s="1070"/>
      <c r="EP192" s="1070"/>
      <c r="EQ192" s="1070"/>
    </row>
    <row r="193" spans="2:222" ht="25.4" customHeight="1" x14ac:dyDescent="0.35">
      <c r="B193" s="376"/>
      <c r="C193" s="372"/>
      <c r="E193" s="228"/>
      <c r="F193" s="228"/>
      <c r="G193" s="228"/>
      <c r="H193" s="228"/>
      <c r="J193" s="228"/>
      <c r="K193" s="228"/>
      <c r="L193" s="228"/>
      <c r="M193" s="228"/>
      <c r="N193" s="229"/>
      <c r="O193" s="229"/>
      <c r="P193" s="230"/>
      <c r="Q193" s="373"/>
      <c r="R193" s="217"/>
      <c r="S193" s="231"/>
      <c r="T193" s="175"/>
      <c r="V193" s="251"/>
      <c r="W193" s="323"/>
      <c r="X193" s="323"/>
      <c r="Y193" s="323"/>
      <c r="Z193" s="323"/>
      <c r="AA193" s="323"/>
      <c r="AB193" s="323"/>
      <c r="AC193" s="323"/>
      <c r="AD193" s="323"/>
      <c r="AE193" s="323"/>
      <c r="AF193" s="323"/>
      <c r="AG193" s="323"/>
      <c r="AH193" s="323"/>
      <c r="AI193" s="323" t="s">
        <v>743</v>
      </c>
      <c r="AJ193" s="323">
        <f>SUM(AJ189:AJ192)</f>
        <v>431075</v>
      </c>
      <c r="AK193" s="323">
        <f>SUM(AK189:AK192)</f>
        <v>633974.85714285716</v>
      </c>
      <c r="AL193" s="323" t="str">
        <f>IFERROR(AJ193+VLOOKUP(B193&amp;"_"&amp;J193,'LCA data'!$B$7:$X$238,2,FALSE),"")</f>
        <v/>
      </c>
      <c r="AM193" s="323" t="str">
        <f>IFERROR(IF(M193-1&gt;0,VLOOKUP(B193&amp;"_"&amp;J193,'LCA data'!$B$7:$X$200,19,FALSE)*(K193*10^3)*C193,""),"")</f>
        <v/>
      </c>
      <c r="AN193" s="323" t="str">
        <f>IFERROR(AL193+VLOOKUP(B193&amp;"_"&amp;J193,'LCA data'!$B$7:$X$238,2,FALSE),"")</f>
        <v/>
      </c>
      <c r="AO193" s="323" t="str">
        <f>IFERROR(IF(M193-2&gt;0,VLOOKUP(B193&amp;"_"&amp;J193,'LCA data'!$B$7:$X$200,19,FALSE)*(K193*10^3)*C193,""),"")</f>
        <v/>
      </c>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c r="BN193" s="323"/>
      <c r="BO193" s="323"/>
      <c r="BP193" s="323"/>
      <c r="BQ193" s="323"/>
      <c r="BR193" s="323"/>
      <c r="BS193" s="323"/>
      <c r="BT193" s="323"/>
      <c r="BU193" s="323"/>
      <c r="BV193" s="323"/>
      <c r="BW193" s="323"/>
      <c r="BX193" s="323"/>
      <c r="BY193" s="323"/>
      <c r="BZ193" s="323"/>
      <c r="CA193" s="323"/>
      <c r="CB193" s="323"/>
      <c r="CC193" s="323"/>
      <c r="CD193" s="323"/>
      <c r="CE193" s="323"/>
      <c r="CF193" s="323"/>
      <c r="CG193" s="323"/>
      <c r="CH193" s="323"/>
      <c r="CI193" s="323"/>
      <c r="CJ193" s="323"/>
      <c r="CK193" s="323"/>
      <c r="CL193" s="323"/>
      <c r="CM193" s="323"/>
      <c r="CN193" s="323"/>
      <c r="CO193" s="323"/>
      <c r="CP193" s="439"/>
      <c r="CQ193" s="440"/>
      <c r="CR193" s="323"/>
      <c r="CS193" s="323"/>
      <c r="CT193" s="323"/>
      <c r="CU193" s="323"/>
      <c r="CV193" s="323"/>
      <c r="CW193" s="323"/>
      <c r="CX193" s="323"/>
      <c r="CY193" s="323"/>
      <c r="CZ193" s="323"/>
      <c r="EK193" s="1070"/>
      <c r="EL193" s="1070"/>
      <c r="EM193" s="1070"/>
      <c r="EN193" s="1070"/>
      <c r="EO193" s="1070"/>
      <c r="EP193" s="1070"/>
      <c r="EQ193" s="1070"/>
    </row>
    <row r="194" spans="2:222" ht="25.4" customHeight="1" x14ac:dyDescent="0.35">
      <c r="B194" s="376"/>
      <c r="C194" s="372"/>
      <c r="E194" s="228"/>
      <c r="F194" s="228"/>
      <c r="G194" s="228"/>
      <c r="H194" s="228"/>
      <c r="J194" s="228"/>
      <c r="K194" s="228"/>
      <c r="L194" s="228"/>
      <c r="M194" s="228"/>
      <c r="N194" s="229"/>
      <c r="O194" s="229"/>
      <c r="P194" s="230"/>
      <c r="Q194" s="373"/>
      <c r="R194" s="217"/>
      <c r="S194" s="231"/>
      <c r="T194" s="175"/>
      <c r="V194" s="251"/>
      <c r="W194" s="323"/>
      <c r="X194" s="323"/>
      <c r="Y194" s="323"/>
      <c r="Z194" s="323"/>
      <c r="AA194" s="323"/>
      <c r="AB194" s="323"/>
      <c r="AC194" s="323"/>
      <c r="AD194" s="323"/>
      <c r="AE194" s="323"/>
      <c r="AF194" s="323"/>
      <c r="AG194" s="323"/>
      <c r="AH194" s="323"/>
      <c r="AI194" s="323" t="str">
        <f>IFERROR(VLOOKUP(B194&amp;"_"&amp;J194,'LCA data'!$B$7:$X$200,19,FALSE)*(K194*10^3)*C194,"")</f>
        <v/>
      </c>
      <c r="AJ194" s="323" t="str">
        <f>IFERROR(VLOOKUP($B194&amp;"_"&amp;J194,'LCA data'!$B$7:$X$238,2,FALSE),"")</f>
        <v/>
      </c>
      <c r="AK194" s="323" t="str">
        <f>IFERROR(IF(M194&gt;0,VLOOKUP(B194&amp;"_"&amp;J194,'LCA data'!$B$7:$X$200,19,FALSE)*(K194*10^3)*C194,""),"")</f>
        <v/>
      </c>
      <c r="AL194" s="323" t="str">
        <f>IFERROR(AJ194+VLOOKUP(B194&amp;"_"&amp;J194,'LCA data'!$B$7:$X$238,2,FALSE),"")</f>
        <v/>
      </c>
      <c r="AM194" s="323" t="str">
        <f>IFERROR(IF(M194-1&gt;0,VLOOKUP(B194&amp;"_"&amp;J194,'LCA data'!$B$7:$X$200,19,FALSE)*(K194*10^3)*C194,""),"")</f>
        <v/>
      </c>
      <c r="AN194" s="323" t="s">
        <v>864</v>
      </c>
      <c r="AO194" s="323" t="s">
        <v>4</v>
      </c>
      <c r="AP194" s="323">
        <f>AN200+AN210+AN220+AN230+AN240</f>
        <v>-4874.3495999999996</v>
      </c>
      <c r="AQ194" s="323"/>
      <c r="AR194" s="323" t="s">
        <v>866</v>
      </c>
      <c r="AS194" s="323" t="s">
        <v>4</v>
      </c>
      <c r="AT194" s="323">
        <f>AR200+AR210+AR220+AR230+AR240</f>
        <v>2770</v>
      </c>
      <c r="AU194" s="323"/>
      <c r="AV194" s="323"/>
      <c r="AW194" s="323"/>
      <c r="AX194" s="323"/>
      <c r="AY194" s="323"/>
      <c r="AZ194" s="323"/>
      <c r="BA194" s="323"/>
      <c r="BB194" s="323"/>
      <c r="BC194" s="323"/>
      <c r="BD194" s="323"/>
      <c r="BE194" s="323"/>
      <c r="BF194" s="323"/>
      <c r="BG194" s="323"/>
      <c r="BH194" s="323"/>
      <c r="BI194" s="323"/>
      <c r="BJ194" s="323"/>
      <c r="BK194" s="323"/>
      <c r="BL194" s="323"/>
      <c r="BM194" s="323"/>
      <c r="BN194" s="323"/>
      <c r="BO194" s="323"/>
      <c r="BP194" s="323"/>
      <c r="BQ194" s="323"/>
      <c r="BR194" s="323"/>
      <c r="BS194" s="323"/>
      <c r="BT194" s="323"/>
      <c r="BU194" s="323"/>
      <c r="BV194" s="323"/>
      <c r="BW194" s="323"/>
      <c r="BX194" s="323"/>
      <c r="BY194" s="323"/>
      <c r="BZ194" s="323"/>
      <c r="CA194" s="323"/>
      <c r="CB194" s="323"/>
      <c r="CC194" s="323"/>
      <c r="CD194" s="323"/>
      <c r="CE194" s="323"/>
      <c r="CF194" s="323"/>
      <c r="CG194" s="323"/>
      <c r="CH194" s="323"/>
      <c r="CI194" s="323"/>
      <c r="CJ194" s="323"/>
      <c r="CK194" s="323"/>
      <c r="CL194" s="323"/>
      <c r="CM194" s="323"/>
      <c r="CN194" s="323"/>
      <c r="CO194" s="323"/>
      <c r="CP194" s="439"/>
      <c r="CQ194" s="440"/>
      <c r="CR194" s="323"/>
      <c r="CS194" s="323"/>
      <c r="CT194" s="323"/>
      <c r="CU194" s="323"/>
      <c r="CV194" s="323"/>
      <c r="CW194" s="323"/>
      <c r="CX194" s="323"/>
      <c r="CY194" s="323"/>
      <c r="CZ194" s="323"/>
      <c r="EK194" s="1070"/>
      <c r="EL194" s="1070"/>
      <c r="EM194" s="1070"/>
      <c r="EN194" s="1070"/>
      <c r="EO194" s="1070"/>
      <c r="EP194" s="1070"/>
      <c r="EQ194" s="1070"/>
    </row>
    <row r="195" spans="2:222" ht="25.4" customHeight="1" x14ac:dyDescent="0.35">
      <c r="B195" s="376"/>
      <c r="C195" s="372"/>
      <c r="E195" s="228"/>
      <c r="F195" s="228"/>
      <c r="G195" s="228"/>
      <c r="H195" s="228"/>
      <c r="J195" s="228"/>
      <c r="K195" s="228"/>
      <c r="L195" s="228"/>
      <c r="M195" s="228"/>
      <c r="N195" s="229"/>
      <c r="O195" s="229"/>
      <c r="P195" s="230"/>
      <c r="Q195" s="373"/>
      <c r="R195" s="217"/>
      <c r="S195" s="231"/>
      <c r="T195" s="175"/>
      <c r="V195" s="251"/>
      <c r="W195" s="323"/>
      <c r="X195" s="323"/>
      <c r="Y195" s="323"/>
      <c r="Z195" s="323"/>
      <c r="AA195" s="323"/>
      <c r="AB195" s="323"/>
      <c r="AC195" s="323"/>
      <c r="AD195" s="323"/>
      <c r="AE195" s="323"/>
      <c r="AF195" s="323"/>
      <c r="AG195" s="323"/>
      <c r="AH195" s="323"/>
      <c r="AI195" s="323"/>
      <c r="AJ195" s="323"/>
      <c r="AK195" s="323"/>
      <c r="AL195" s="323"/>
      <c r="AM195" s="323"/>
      <c r="AN195" s="323" t="s">
        <v>865</v>
      </c>
      <c r="AO195" s="323" t="s">
        <v>5</v>
      </c>
      <c r="AP195" s="323"/>
      <c r="AQ195" s="323">
        <f>AO200+AO210+AO220+AO230+AO240</f>
        <v>-7869.8084651428599</v>
      </c>
      <c r="AR195" s="323" t="s">
        <v>866</v>
      </c>
      <c r="AS195" s="323" t="s">
        <v>5</v>
      </c>
      <c r="AT195" s="323"/>
      <c r="AU195" s="323">
        <f>AS200+AS210+AS220+AS230+AS240</f>
        <v>13801</v>
      </c>
      <c r="AV195" s="323"/>
      <c r="AW195" s="323"/>
      <c r="AX195" s="323"/>
      <c r="AY195" s="323"/>
      <c r="AZ195" s="323"/>
      <c r="BA195" s="323"/>
      <c r="BB195" s="323"/>
      <c r="BC195" s="323"/>
      <c r="BD195" s="323"/>
      <c r="BE195" s="323"/>
      <c r="BF195" s="323"/>
      <c r="BG195" s="323"/>
      <c r="BH195" s="323"/>
      <c r="BI195" s="323"/>
      <c r="BJ195" s="323"/>
      <c r="BK195" s="323"/>
      <c r="BL195" s="323"/>
      <c r="BM195" s="323"/>
      <c r="BN195" s="323"/>
      <c r="BO195" s="323"/>
      <c r="BP195" s="323"/>
      <c r="BQ195" s="323"/>
      <c r="BR195" s="323"/>
      <c r="BS195" s="323"/>
      <c r="BT195" s="323"/>
      <c r="BU195" s="323"/>
      <c r="BV195" s="323"/>
      <c r="BW195" s="323"/>
      <c r="BX195" s="323"/>
      <c r="BY195" s="323"/>
      <c r="BZ195" s="323"/>
      <c r="CA195" s="323"/>
      <c r="CB195" s="323"/>
      <c r="CC195" s="323"/>
      <c r="CD195" s="323"/>
      <c r="CE195" s="323"/>
      <c r="CF195" s="323"/>
      <c r="CG195" s="323"/>
      <c r="CH195" s="323"/>
      <c r="CI195" s="323"/>
      <c r="CJ195" s="323"/>
      <c r="CK195" s="323"/>
      <c r="CL195" s="323"/>
      <c r="CM195" s="323"/>
      <c r="CN195" s="323"/>
      <c r="CO195" s="323"/>
      <c r="CP195" s="439"/>
      <c r="CQ195" s="428"/>
      <c r="CR195" s="323"/>
      <c r="CS195" s="323"/>
      <c r="CT195" s="323"/>
      <c r="CU195" s="323"/>
      <c r="CV195" s="323"/>
      <c r="CW195" s="323"/>
      <c r="CX195" s="323"/>
      <c r="CY195" s="323"/>
      <c r="CZ195" s="323"/>
      <c r="EK195" s="1070"/>
      <c r="EL195" s="1070"/>
      <c r="EM195" s="1070"/>
      <c r="EN195" s="1070"/>
      <c r="EO195" s="1070"/>
      <c r="EP195" s="1070"/>
      <c r="EQ195" s="1070"/>
    </row>
    <row r="196" spans="2:222" ht="54.65" customHeight="1" thickBot="1" x14ac:dyDescent="0.4">
      <c r="B196" s="377"/>
      <c r="C196" s="378"/>
      <c r="D196" s="234"/>
      <c r="E196" s="234"/>
      <c r="F196" s="234"/>
      <c r="G196" s="234"/>
      <c r="H196" s="234"/>
      <c r="I196" s="234"/>
      <c r="J196" s="234"/>
      <c r="K196" s="234"/>
      <c r="L196" s="234"/>
      <c r="M196" s="234"/>
      <c r="N196" s="235"/>
      <c r="O196" s="235"/>
      <c r="P196" s="236"/>
      <c r="Q196" s="379"/>
      <c r="R196" s="380"/>
      <c r="S196" s="238"/>
      <c r="T196" s="175"/>
      <c r="V196" s="251"/>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c r="BN196" s="323"/>
      <c r="BO196" s="323"/>
      <c r="BP196" s="323"/>
      <c r="BQ196" s="323"/>
      <c r="BR196" s="323"/>
      <c r="BS196" s="323"/>
      <c r="BT196" s="323"/>
      <c r="BU196" s="323"/>
      <c r="BV196" s="323"/>
      <c r="BW196" s="323"/>
      <c r="BX196" s="323"/>
      <c r="BY196" s="323"/>
      <c r="BZ196" s="323"/>
      <c r="CA196" s="323"/>
      <c r="CB196" s="323"/>
      <c r="CC196" s="323"/>
      <c r="CD196" s="323"/>
      <c r="CE196" s="323"/>
      <c r="CF196" s="323"/>
      <c r="CG196" s="323"/>
      <c r="CH196" s="323"/>
      <c r="CI196" s="323"/>
      <c r="CJ196" s="323"/>
      <c r="CK196" s="323"/>
      <c r="CL196" s="323"/>
      <c r="CM196" s="323"/>
      <c r="CN196" s="323"/>
      <c r="CO196" s="323"/>
      <c r="CP196" s="439"/>
      <c r="CQ196" s="440"/>
      <c r="CR196" s="323"/>
      <c r="CS196" s="323"/>
      <c r="CT196" s="323"/>
      <c r="CU196" s="323"/>
      <c r="CV196" s="323"/>
      <c r="CW196" s="323"/>
      <c r="CX196" s="323"/>
      <c r="CY196" s="323"/>
      <c r="CZ196" s="323"/>
      <c r="EK196" s="1070"/>
      <c r="EL196" s="1070"/>
      <c r="EM196" s="1070"/>
      <c r="EN196" s="1070"/>
      <c r="EO196" s="1070"/>
      <c r="EP196" s="1070"/>
      <c r="EQ196" s="1070"/>
    </row>
    <row r="197" spans="2:222" ht="13.4" customHeight="1" thickBot="1" x14ac:dyDescent="0.7">
      <c r="B197" s="381"/>
      <c r="F197" s="228"/>
      <c r="G197" s="228"/>
      <c r="H197" s="228"/>
      <c r="K197" s="228"/>
      <c r="L197" s="228"/>
      <c r="M197" s="228"/>
      <c r="N197" s="229"/>
      <c r="O197" s="229"/>
      <c r="P197" s="230"/>
      <c r="Q197" s="239"/>
      <c r="S197" s="240"/>
      <c r="T197" s="175"/>
      <c r="V197" s="251"/>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c r="BN197" s="323"/>
      <c r="BO197" s="323"/>
      <c r="BP197" s="323"/>
      <c r="BQ197" s="323"/>
      <c r="BR197" s="323"/>
      <c r="BS197" s="323"/>
      <c r="BT197" s="323"/>
      <c r="BU197" s="323"/>
      <c r="BV197" s="323"/>
      <c r="BW197" s="323"/>
      <c r="BX197" s="323"/>
      <c r="BY197" s="323"/>
      <c r="BZ197" s="323"/>
      <c r="CA197" s="323"/>
      <c r="CB197" s="323"/>
      <c r="CC197" s="323"/>
      <c r="CD197" s="323"/>
      <c r="CE197" s="323"/>
      <c r="CF197" s="323"/>
      <c r="CG197" s="323"/>
      <c r="CH197" s="323"/>
      <c r="CI197" s="323"/>
      <c r="CJ197" s="323"/>
      <c r="CK197" s="323"/>
      <c r="CL197" s="323"/>
      <c r="CM197" s="323"/>
      <c r="CN197" s="323"/>
      <c r="CO197" s="323"/>
      <c r="CP197" s="439"/>
      <c r="CQ197" s="440"/>
      <c r="CR197" s="323"/>
      <c r="CS197" s="323"/>
      <c r="CT197" s="323"/>
      <c r="CU197" s="323"/>
      <c r="CV197" s="323"/>
      <c r="CW197" s="323"/>
      <c r="CX197" s="323"/>
      <c r="CY197" s="323"/>
      <c r="CZ197" s="323"/>
      <c r="EK197" s="1070"/>
      <c r="EL197" s="1070"/>
      <c r="EM197" s="1070"/>
      <c r="EN197" s="1070"/>
      <c r="EO197" s="1070"/>
      <c r="EP197" s="1070"/>
      <c r="EQ197" s="1070"/>
    </row>
    <row r="198" spans="2:222" ht="37.5" customHeight="1" x14ac:dyDescent="0.35">
      <c r="B198" s="493" t="s">
        <v>112</v>
      </c>
      <c r="C198" s="499"/>
      <c r="D198" s="499"/>
      <c r="E198" s="506" t="s">
        <v>36</v>
      </c>
      <c r="F198" s="499"/>
      <c r="G198" s="499"/>
      <c r="H198" s="499"/>
      <c r="I198" s="500" t="str">
        <f>"Terrændæk"&amp;" "&amp;1</f>
        <v>Terrændæk 1</v>
      </c>
      <c r="J198" s="499"/>
      <c r="K198" s="499"/>
      <c r="L198" s="499"/>
      <c r="M198" s="499"/>
      <c r="N198" s="499"/>
      <c r="O198" s="499"/>
      <c r="P198" s="499"/>
      <c r="Q198" s="501"/>
      <c r="R198" s="190"/>
      <c r="S198" s="191"/>
      <c r="V198" s="251"/>
      <c r="W198" s="323">
        <f>IF(E201=$C$72,1,0)</f>
        <v>0</v>
      </c>
      <c r="X198" s="323">
        <f>IF(J201=$C$72,1,0)</f>
        <v>0</v>
      </c>
      <c r="Y198" s="323"/>
      <c r="Z198" s="323"/>
      <c r="AA198" s="323"/>
      <c r="AB198" s="323"/>
      <c r="AC198" s="323"/>
      <c r="AD198" s="323"/>
      <c r="AE198" s="323"/>
      <c r="AF198" s="323"/>
      <c r="AG198" s="323"/>
      <c r="AH198" s="323"/>
      <c r="AI198" s="323"/>
      <c r="AJ198" s="323" t="s">
        <v>746</v>
      </c>
      <c r="AK198" s="323" t="s">
        <v>747</v>
      </c>
      <c r="AL198" s="323"/>
      <c r="AM198" s="323"/>
      <c r="AN198" s="323" t="s">
        <v>846</v>
      </c>
      <c r="AO198" s="323"/>
      <c r="AP198" s="323"/>
      <c r="AQ198" s="323"/>
      <c r="AR198" s="323" t="s">
        <v>851</v>
      </c>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c r="BN198" s="323"/>
      <c r="BO198" s="323"/>
      <c r="BP198" s="323"/>
      <c r="BQ198" s="323"/>
      <c r="BR198" s="323"/>
      <c r="BS198" s="323"/>
      <c r="BT198" s="323"/>
      <c r="BU198" s="323"/>
      <c r="BV198" s="323"/>
      <c r="BW198" s="323"/>
      <c r="BX198" s="323"/>
      <c r="BY198" s="323"/>
      <c r="BZ198" s="323"/>
      <c r="CA198" s="323"/>
      <c r="CB198" s="323"/>
      <c r="CC198" s="323"/>
      <c r="CD198" s="323"/>
      <c r="CE198" s="323"/>
      <c r="CF198" s="323"/>
      <c r="CG198" s="323"/>
      <c r="CH198" s="323"/>
      <c r="CI198" s="323"/>
      <c r="CJ198" s="323"/>
      <c r="CK198" s="323"/>
      <c r="CL198" s="323"/>
      <c r="CM198" s="323"/>
      <c r="CN198" s="323"/>
      <c r="CO198" s="323"/>
      <c r="CP198" s="439"/>
      <c r="CQ198" s="440"/>
      <c r="CR198" s="323"/>
      <c r="CS198" s="323"/>
      <c r="CT198" s="323"/>
      <c r="CU198" s="323"/>
      <c r="CV198" s="323"/>
      <c r="CW198" s="323"/>
      <c r="CX198" s="323"/>
      <c r="CY198" s="323"/>
      <c r="CZ198" s="323"/>
      <c r="EK198" s="1070"/>
      <c r="EL198" s="1070"/>
      <c r="EM198" s="1070"/>
      <c r="EN198" s="1070"/>
      <c r="EO198" s="1070"/>
      <c r="EP198" s="1070"/>
      <c r="EQ198" s="1070"/>
    </row>
    <row r="199" spans="2:222" ht="40.4" customHeight="1" x14ac:dyDescent="0.35">
      <c r="B199" s="359" t="s">
        <v>78</v>
      </c>
      <c r="C199" s="360"/>
      <c r="D199" s="910" t="str">
        <f>IF(E201=$C$72,"Scenarie 1: Din Opbygning","Scenarie 1: "&amp;X29)</f>
        <v>Scenarie 1: Tung Konventionel</v>
      </c>
      <c r="E199" s="911"/>
      <c r="F199" s="911"/>
      <c r="G199" s="911"/>
      <c r="H199" s="912"/>
      <c r="I199" s="885" t="str">
        <f>IF(J201=$C$72,"Scenarie 2: Din Opbygning","Scenarie 2: "&amp;Y29)</f>
        <v>Scenarie 2: Let Lav Emission</v>
      </c>
      <c r="J199" s="886"/>
      <c r="K199" s="886"/>
      <c r="L199" s="886"/>
      <c r="M199" s="887"/>
      <c r="N199" s="877" t="s">
        <v>79</v>
      </c>
      <c r="O199" s="877"/>
      <c r="P199" s="877"/>
      <c r="Q199" s="877"/>
      <c r="R199" s="192"/>
      <c r="S199" s="193"/>
      <c r="T199" s="175"/>
      <c r="V199" s="251"/>
      <c r="W199" s="323"/>
      <c r="X199" s="323"/>
      <c r="Y199" s="323"/>
      <c r="Z199" s="323"/>
      <c r="AA199" s="323"/>
      <c r="AB199" s="323"/>
      <c r="AC199" s="323"/>
      <c r="AD199" s="323"/>
      <c r="AE199" s="323"/>
      <c r="AF199" s="323"/>
      <c r="AG199" s="323"/>
      <c r="AH199" s="323"/>
      <c r="AI199" s="323" t="s">
        <v>338</v>
      </c>
      <c r="AJ199" s="323">
        <f>VLOOKUP(E202,Pris.gulv.belægning[],2,0)*C202</f>
        <v>194664</v>
      </c>
      <c r="AK199" s="323">
        <f>VLOOKUP(J202,Pris.gulv.belægning[],2,0)*C202</f>
        <v>194664</v>
      </c>
      <c r="AL199" s="323"/>
      <c r="AM199" s="323"/>
      <c r="AN199" s="323" t="s">
        <v>4</v>
      </c>
      <c r="AO199" s="323" t="s">
        <v>5</v>
      </c>
      <c r="AP199" s="323"/>
      <c r="AQ199" s="323"/>
      <c r="AR199" s="323" t="s">
        <v>4</v>
      </c>
      <c r="AS199" s="323" t="s">
        <v>5</v>
      </c>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c r="BN199" s="323"/>
      <c r="BO199" s="323"/>
      <c r="BP199" s="323"/>
      <c r="BQ199" s="323"/>
      <c r="BR199" s="323"/>
      <c r="BS199" s="323"/>
      <c r="BT199" s="323"/>
      <c r="BU199" s="323"/>
      <c r="BV199" s="323"/>
      <c r="BW199" s="323"/>
      <c r="BX199" s="323"/>
      <c r="BY199" s="323"/>
      <c r="BZ199" s="323"/>
      <c r="CA199" s="323"/>
      <c r="CB199" s="323"/>
      <c r="CC199" s="323"/>
      <c r="CD199" s="323"/>
      <c r="CE199" s="323"/>
      <c r="CF199" s="323"/>
      <c r="CG199" s="323"/>
      <c r="CH199" s="323"/>
      <c r="CI199" s="323"/>
      <c r="CJ199" s="323"/>
      <c r="CK199" s="323"/>
      <c r="CL199" s="323"/>
      <c r="CM199" s="323"/>
      <c r="CN199" s="323"/>
      <c r="CO199" s="323"/>
      <c r="CP199" s="439"/>
      <c r="CQ199" s="440"/>
      <c r="CR199" s="323"/>
      <c r="CS199" s="323"/>
      <c r="CT199" s="323"/>
      <c r="CU199" s="323"/>
      <c r="CV199" s="323"/>
      <c r="CW199" s="323"/>
      <c r="CX199" s="323"/>
      <c r="CY199" s="323"/>
      <c r="CZ199" s="323"/>
      <c r="EK199" s="1070"/>
      <c r="EL199" s="1070"/>
      <c r="EM199" s="1070"/>
      <c r="EN199" s="1070"/>
      <c r="EO199" s="1070"/>
      <c r="EP199" s="1070"/>
      <c r="EQ199" s="1070"/>
    </row>
    <row r="200" spans="2:222" ht="44.15" customHeight="1" x14ac:dyDescent="0.35">
      <c r="B200" s="194"/>
      <c r="C200" s="195" t="s">
        <v>80</v>
      </c>
      <c r="D200" s="920" t="s">
        <v>81</v>
      </c>
      <c r="E200" s="921"/>
      <c r="F200" s="338" t="s">
        <v>82</v>
      </c>
      <c r="G200" s="338" t="s">
        <v>83</v>
      </c>
      <c r="H200" s="346" t="s">
        <v>84</v>
      </c>
      <c r="I200" s="891" t="s">
        <v>81</v>
      </c>
      <c r="J200" s="892"/>
      <c r="K200" s="479" t="s">
        <v>82</v>
      </c>
      <c r="L200" s="479" t="s">
        <v>83</v>
      </c>
      <c r="M200" s="508" t="s">
        <v>84</v>
      </c>
      <c r="N200" s="195" t="s">
        <v>4</v>
      </c>
      <c r="O200" s="195" t="s">
        <v>85</v>
      </c>
      <c r="P200" s="195" t="s">
        <v>5</v>
      </c>
      <c r="Q200" s="195" t="s">
        <v>86</v>
      </c>
      <c r="R200" s="192"/>
      <c r="S200" s="196"/>
      <c r="V200" s="251"/>
      <c r="W200" s="323" t="s">
        <v>87</v>
      </c>
      <c r="X200" s="323" t="s">
        <v>88</v>
      </c>
      <c r="Y200" s="323" t="s">
        <v>89</v>
      </c>
      <c r="Z200" s="323" t="s">
        <v>90</v>
      </c>
      <c r="AA200" s="323" t="s">
        <v>91</v>
      </c>
      <c r="AB200" s="323"/>
      <c r="AC200" s="323"/>
      <c r="AD200" s="323"/>
      <c r="AE200" s="323" t="s">
        <v>92</v>
      </c>
      <c r="AF200" s="323"/>
      <c r="AG200" s="323"/>
      <c r="AH200" s="323"/>
      <c r="AI200" s="323" t="s">
        <v>209</v>
      </c>
      <c r="AJ200" s="323">
        <f>VLOOKUP(E203,Pris.isolering.tag[],2,0)*F203*C203</f>
        <v>102783.00000000001</v>
      </c>
      <c r="AK200" s="323">
        <f>VLOOKUP(J203,Pris.isolering.tag[],2,0)*K203*C203</f>
        <v>58902.857142857145</v>
      </c>
      <c r="AL200" s="323"/>
      <c r="AM200" s="323"/>
      <c r="AN200" s="323">
        <f>SUM(AN202:AN206)</f>
        <v>-4874.3495999999996</v>
      </c>
      <c r="AO200" s="323">
        <f>SUM(AO202:AO206)</f>
        <v>-7869.8084651428599</v>
      </c>
      <c r="AP200" s="323"/>
      <c r="AQ200" s="323"/>
      <c r="AR200" s="323">
        <f>SUM(AR202:AR205)</f>
        <v>2770</v>
      </c>
      <c r="AS200" s="323">
        <f>SUM(AS202:AS205)</f>
        <v>13801</v>
      </c>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c r="BN200" s="323"/>
      <c r="BO200" s="323"/>
      <c r="BP200" s="323"/>
      <c r="BQ200" s="323"/>
      <c r="BR200" s="323"/>
      <c r="BS200" s="323"/>
      <c r="BT200" s="323"/>
      <c r="BU200" s="323"/>
      <c r="BV200" s="323"/>
      <c r="BW200" s="323"/>
      <c r="BX200" s="323"/>
      <c r="BY200" s="323"/>
      <c r="BZ200" s="323"/>
      <c r="CA200" s="323"/>
      <c r="CB200" s="323"/>
      <c r="CC200" s="323"/>
      <c r="CD200" s="323"/>
      <c r="CE200" s="323"/>
      <c r="CF200" s="323"/>
      <c r="CG200" s="323"/>
      <c r="CH200" s="323"/>
      <c r="CI200" s="323"/>
      <c r="CJ200" s="323"/>
      <c r="CK200" s="323"/>
      <c r="CL200" s="323"/>
      <c r="CM200" s="323"/>
      <c r="CN200" s="323"/>
      <c r="CO200" s="323"/>
      <c r="CP200" s="439"/>
      <c r="CQ200" s="440"/>
      <c r="CR200" s="323"/>
      <c r="CS200" s="323"/>
      <c r="CT200" s="323"/>
      <c r="CU200" s="323"/>
      <c r="CV200" s="323"/>
      <c r="CW200" s="323"/>
      <c r="CX200" s="323"/>
      <c r="CY200" s="323"/>
      <c r="CZ200" s="323"/>
      <c r="EK200" s="1070"/>
      <c r="EL200" s="1070"/>
      <c r="EM200" s="1070"/>
      <c r="EN200" s="1070"/>
      <c r="EO200" s="1070"/>
      <c r="EP200" s="1070"/>
      <c r="EQ200" s="1070"/>
    </row>
    <row r="201" spans="2:222" s="198" customFormat="1" ht="26" customHeight="1" x14ac:dyDescent="0.35">
      <c r="B201" s="199"/>
      <c r="C201" s="200" t="s">
        <v>93</v>
      </c>
      <c r="D201" s="361" t="s">
        <v>828</v>
      </c>
      <c r="E201" s="362" t="str">
        <f>$C$30</f>
        <v>Benyt Standard</v>
      </c>
      <c r="F201" s="347" t="s">
        <v>94</v>
      </c>
      <c r="G201" s="348" t="s">
        <v>95</v>
      </c>
      <c r="H201" s="349" t="s">
        <v>96</v>
      </c>
      <c r="I201" s="480" t="s">
        <v>828</v>
      </c>
      <c r="J201" s="362" t="str">
        <f>$E$30</f>
        <v>Benyt Standard</v>
      </c>
      <c r="K201" s="510" t="s">
        <v>94</v>
      </c>
      <c r="L201" s="511" t="s">
        <v>95</v>
      </c>
      <c r="M201" s="512" t="s">
        <v>96</v>
      </c>
      <c r="N201" s="201" t="s">
        <v>97</v>
      </c>
      <c r="O201" s="201" t="s">
        <v>97</v>
      </c>
      <c r="P201" s="201" t="s">
        <v>97</v>
      </c>
      <c r="Q201" s="201" t="s">
        <v>97</v>
      </c>
      <c r="R201" s="202"/>
      <c r="S201" s="203"/>
      <c r="T201" s="204"/>
      <c r="U201" s="204"/>
      <c r="V201" s="325"/>
      <c r="W201" s="323">
        <f>SUM(W202:W205)</f>
        <v>25391.720386000001</v>
      </c>
      <c r="X201" s="323">
        <f>SUM(X202:X205)</f>
        <v>14555.994309571441</v>
      </c>
      <c r="Y201" s="323"/>
      <c r="Z201" s="323"/>
      <c r="AA201" s="323"/>
      <c r="AB201" s="323" t="s">
        <v>111</v>
      </c>
      <c r="AC201" s="323" t="s">
        <v>98</v>
      </c>
      <c r="AD201" s="323" t="s">
        <v>99</v>
      </c>
      <c r="AE201" s="323" t="s">
        <v>100</v>
      </c>
      <c r="AF201" s="323"/>
      <c r="AG201" s="323"/>
      <c r="AH201" s="323"/>
      <c r="AI201" s="323" t="s">
        <v>36</v>
      </c>
      <c r="AJ201" s="323">
        <f>VLOOKUP(E204,Pris.Terrændæk.konstruktion[],2,0)*F204*C204</f>
        <v>96880</v>
      </c>
      <c r="AK201" s="323">
        <f>VLOOKUP(J204,Pris.Terrændæk.konstruktion[],2,0)*K204*C204</f>
        <v>343660</v>
      </c>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c r="BN201" s="323"/>
      <c r="BO201" s="323"/>
      <c r="BP201" s="323"/>
      <c r="BQ201" s="323"/>
      <c r="BR201" s="323"/>
      <c r="BS201" s="323"/>
      <c r="BT201" s="323"/>
      <c r="BU201" s="323"/>
      <c r="BV201" s="323"/>
      <c r="BW201" s="323"/>
      <c r="BX201" s="323"/>
      <c r="BY201" s="323"/>
      <c r="BZ201" s="323"/>
      <c r="CA201" s="323"/>
      <c r="CB201" s="323"/>
      <c r="CC201" s="323"/>
      <c r="CD201" s="323"/>
      <c r="CE201" s="323"/>
      <c r="CF201" s="323"/>
      <c r="CG201" s="323"/>
      <c r="CH201" s="323"/>
      <c r="CI201" s="323"/>
      <c r="CJ201" s="323"/>
      <c r="CK201" s="323"/>
      <c r="CL201" s="323"/>
      <c r="CM201" s="323"/>
      <c r="CN201" s="323"/>
      <c r="CO201" s="323"/>
      <c r="CP201" s="439"/>
      <c r="CQ201" s="440"/>
      <c r="CR201" s="323"/>
      <c r="CS201" s="323"/>
      <c r="CT201" s="323"/>
      <c r="CU201" s="323"/>
      <c r="CV201" s="323"/>
      <c r="CW201" s="323"/>
      <c r="CX201" s="323"/>
      <c r="CY201" s="323"/>
      <c r="CZ201" s="323"/>
      <c r="DA201" s="325"/>
      <c r="DB201" s="325"/>
      <c r="DC201" s="325"/>
      <c r="DD201" s="325"/>
      <c r="DE201" s="325"/>
      <c r="DF201" s="325"/>
      <c r="DG201" s="325"/>
      <c r="DH201" s="325"/>
      <c r="DI201" s="325"/>
      <c r="DJ201" s="325"/>
      <c r="DK201" s="325"/>
      <c r="DL201" s="325"/>
      <c r="DM201" s="325"/>
      <c r="DN201" s="325"/>
      <c r="DO201" s="325"/>
      <c r="DP201" s="325"/>
      <c r="DQ201" s="325"/>
      <c r="DR201" s="325"/>
      <c r="DS201" s="325"/>
      <c r="DT201" s="325"/>
      <c r="DU201" s="325"/>
      <c r="DV201" s="325"/>
      <c r="DW201" s="325"/>
      <c r="DX201" s="325"/>
      <c r="DY201" s="325"/>
      <c r="DZ201" s="325"/>
      <c r="EA201" s="325"/>
      <c r="EB201" s="325"/>
      <c r="EC201" s="325"/>
      <c r="ED201" s="325"/>
      <c r="EE201" s="325"/>
      <c r="EF201" s="325"/>
      <c r="EG201" s="325"/>
      <c r="EH201" s="325"/>
      <c r="EI201" s="325"/>
      <c r="EJ201" s="325"/>
      <c r="EK201" s="1072"/>
      <c r="EL201" s="1072"/>
      <c r="EM201" s="1072"/>
      <c r="EN201" s="1072"/>
      <c r="EO201" s="1072"/>
      <c r="EP201" s="1072"/>
      <c r="EQ201" s="1072"/>
      <c r="ER201" s="325"/>
      <c r="ES201" s="325"/>
      <c r="ET201" s="325"/>
      <c r="EU201" s="325"/>
      <c r="EV201" s="325"/>
      <c r="EW201" s="325"/>
      <c r="EX201" s="325"/>
      <c r="EY201" s="325"/>
      <c r="EZ201" s="325"/>
      <c r="FA201" s="325"/>
      <c r="FB201" s="325"/>
      <c r="FC201" s="325"/>
      <c r="FD201" s="325"/>
      <c r="FE201" s="325"/>
      <c r="FF201" s="325"/>
      <c r="FG201" s="325"/>
      <c r="FH201" s="325"/>
      <c r="FI201" s="325"/>
      <c r="FJ201" s="325"/>
      <c r="FK201" s="325"/>
      <c r="FL201" s="325"/>
      <c r="FM201" s="325"/>
      <c r="FN201" s="325"/>
      <c r="FO201" s="325"/>
      <c r="FP201" s="325"/>
      <c r="FQ201" s="325"/>
      <c r="FR201" s="325"/>
      <c r="FS201" s="325"/>
      <c r="FT201" s="325"/>
      <c r="FU201" s="325"/>
      <c r="FV201" s="325"/>
      <c r="FW201" s="325"/>
      <c r="FX201" s="325"/>
      <c r="FY201" s="325"/>
      <c r="FZ201" s="325"/>
      <c r="GA201" s="325"/>
      <c r="GB201" s="325"/>
      <c r="GC201" s="325"/>
      <c r="GD201" s="325"/>
      <c r="GE201" s="325"/>
      <c r="GF201" s="325"/>
      <c r="GG201" s="325"/>
      <c r="GH201" s="325"/>
      <c r="GI201" s="325"/>
      <c r="GJ201" s="325"/>
      <c r="GK201" s="325"/>
      <c r="GL201" s="325"/>
      <c r="GM201" s="325"/>
      <c r="GN201" s="325"/>
      <c r="GO201" s="325"/>
      <c r="GP201" s="325"/>
      <c r="GQ201" s="325"/>
      <c r="GR201" s="325"/>
      <c r="GS201" s="325"/>
      <c r="GT201" s="325"/>
      <c r="GU201" s="325"/>
      <c r="GV201" s="325"/>
      <c r="GW201" s="325"/>
      <c r="GX201" s="325"/>
      <c r="GY201" s="325"/>
      <c r="GZ201" s="325"/>
      <c r="HA201" s="325"/>
      <c r="HB201" s="325"/>
      <c r="HC201" s="325"/>
      <c r="HD201" s="325"/>
      <c r="HE201" s="325"/>
      <c r="HF201" s="325"/>
      <c r="HG201" s="325"/>
      <c r="HH201" s="325"/>
      <c r="HI201" s="325"/>
      <c r="HJ201" s="325"/>
      <c r="HK201" s="325"/>
      <c r="HL201" s="325"/>
      <c r="HM201" s="325"/>
      <c r="HN201" s="325"/>
    </row>
    <row r="202" spans="2:222" ht="40.4" customHeight="1" x14ac:dyDescent="0.35">
      <c r="B202" s="363" t="str">
        <f>'LCA data'!$B$149</f>
        <v>Gulvoverflade</v>
      </c>
      <c r="C202" s="465">
        <f>IF($C$43-C212-C222-C232-C242&lt;0,0,$C$43-C212-C222-C232-C242)</f>
        <v>200</v>
      </c>
      <c r="D202" s="15" t="s">
        <v>103</v>
      </c>
      <c r="E202" s="342" t="str">
        <f>IF($E$201=$C$72,D202,VLOOKUP(B202,Auto_Terrændæk[],VLOOKUP($X$29,Type_Tung_Middel_Let[],2,0),0))</f>
        <v xml:space="preserve">Trægulv på strøer </v>
      </c>
      <c r="F202" s="356">
        <f>(VLOOKUP(E202,Pris.gulv.belægning[],4,0))/1000</f>
        <v>2.1999999999999999E-2</v>
      </c>
      <c r="G202" s="350"/>
      <c r="H202" s="351">
        <f>IFERROR(IF(VLOOKUP(B202&amp;"_"&amp;E202,'LCA data'!$B$7:$X$200,2,FALSE)&lt;$Y$24,1,0)+IF(VLOOKUP(B202&amp;"_"&amp;E202,'LCA data'!$B$7:$X$200,2,FALSE)*2&lt;$Y$24,1,0),"")</f>
        <v>0</v>
      </c>
      <c r="I202" s="15" t="s">
        <v>103</v>
      </c>
      <c r="J202" s="342" t="str">
        <f>IF($J$201=$C$72,I202,VLOOKUP(B202,Auto_Terrændæk[],VLOOKUP($Y$29,Type_Tung_Middel_Let[],2,0),0))</f>
        <v xml:space="preserve">Trægulv på strøer </v>
      </c>
      <c r="K202" s="513">
        <f>(VLOOKUP(J202,Pris.gulv.belægning[],4,0))/1000</f>
        <v>2.1999999999999999E-2</v>
      </c>
      <c r="L202" s="514"/>
      <c r="M202" s="515">
        <f>IFERROR(IF(VLOOKUP(B202&amp;"_"&amp;J202,'LCA data'!$B$7:$X$200,2,FALSE)&lt;$Y$24,1,0)+IF(VLOOKUP(B202&amp;"_"&amp;J202,'LCA data'!$B$7:$X$200,2,FALSE)*2&lt;$Y$24,1,0),"")</f>
        <v>0</v>
      </c>
      <c r="N202" s="364">
        <f>W202/1000</f>
        <v>1.298724781</v>
      </c>
      <c r="O202" s="880">
        <f>SUM(N202:N206)</f>
        <v>25.391720385999999</v>
      </c>
      <c r="P202" s="365">
        <f>X202/1000</f>
        <v>1.298724781</v>
      </c>
      <c r="Q202" s="880">
        <f>SUM(P202:P206)</f>
        <v>14.555994309571439</v>
      </c>
      <c r="R202" s="192"/>
      <c r="S202" s="196"/>
      <c r="V202" s="251"/>
      <c r="W202" s="323">
        <f>IF(E202="Angiv ikke",0,((1+H202)*VLOOKUP(B202&amp;"_"&amp;E202,'LCA data'!$B$7:$X$360,19,FALSE)*(F202*10^3)*C202))</f>
        <v>1298.7247809999999</v>
      </c>
      <c r="X202" s="323">
        <f>IF(J202="Angiv ikke",0,((1+M202)*VLOOKUP(B202&amp;"_"&amp;J202,'LCA data'!$B$7:$X$360,19,FALSE)*(K202*10^3)*C202))</f>
        <v>1298.7247809999999</v>
      </c>
      <c r="Y202" s="323"/>
      <c r="Z202" s="323"/>
      <c r="AA202" s="323" t="s">
        <v>4</v>
      </c>
      <c r="AB202" s="323">
        <f>AF202/$J$21/$Y$24*1000</f>
        <v>1.2695860192999999</v>
      </c>
      <c r="AC202" s="323">
        <f>Varmetab!H77</f>
        <v>0.1927288558848656</v>
      </c>
      <c r="AD202" s="323">
        <f>AB202+AC202</f>
        <v>1.4623148751848656</v>
      </c>
      <c r="AE202" s="323" t="s">
        <v>4</v>
      </c>
      <c r="AF202" s="323">
        <f>W201/1000</f>
        <v>25.391720385999999</v>
      </c>
      <c r="AG202" s="323"/>
      <c r="AH202" s="323"/>
      <c r="AI202" s="323" t="s">
        <v>800</v>
      </c>
      <c r="AJ202" s="323">
        <f>VLOOKUP(E205,Pris.kapillarbryddende.lag[],2,0)*F205*C205</f>
        <v>36748</v>
      </c>
      <c r="AK202" s="323">
        <f>VLOOKUP(J205,Pris.kapillarbryddende.lag[],2,0)*K205*C205</f>
        <v>36748</v>
      </c>
      <c r="AL202" s="323"/>
      <c r="AM202" s="323"/>
      <c r="AN202" s="323">
        <f>IF(E202="Angiv ikke",0,((1+H202)*VLOOKUP(B202&amp;"_"&amp;E202,'LCA data'!$B$7:$X$360,20,FALSE)*(F202*10^3)*C202))</f>
        <v>-1434.8496</v>
      </c>
      <c r="AO202" s="323">
        <f>IF(J202="Angiv ikke",0,((1+M202)*VLOOKUP(B202&amp;"_"&amp;J202,'LCA data'!$B$7:$X$360,20,FALSE)*(K202*10^3)*C202))</f>
        <v>-1434.8496</v>
      </c>
      <c r="AP202" s="323"/>
      <c r="AQ202" s="323"/>
      <c r="AR202" s="323">
        <f>IF(E202="Angiv ikke",0,((1+H202)*VLOOKUP(B202&amp;"_"&amp;E202,'LCA data'!$B$7:$AA$360,26,FALSE)*(F202*10^3)*C202))</f>
        <v>2770</v>
      </c>
      <c r="AS202" s="323">
        <f>IF(J202="Angiv ikke",0,((1+M202)*VLOOKUP(B202&amp;"_"&amp;J202,'LCA data'!$B$7:$AA$360,26,FALSE)*(K202*10^3)*C202))</f>
        <v>2770</v>
      </c>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c r="BN202" s="323"/>
      <c r="BO202" s="323"/>
      <c r="BP202" s="323"/>
      <c r="BQ202" s="323"/>
      <c r="BR202" s="323"/>
      <c r="BS202" s="323"/>
      <c r="BT202" s="323"/>
      <c r="BU202" s="323"/>
      <c r="BV202" s="323"/>
      <c r="BW202" s="323"/>
      <c r="BX202" s="323"/>
      <c r="BY202" s="323"/>
      <c r="BZ202" s="323"/>
      <c r="CA202" s="323"/>
      <c r="CB202" s="323"/>
      <c r="CC202" s="323"/>
      <c r="CD202" s="323"/>
      <c r="CE202" s="323"/>
      <c r="CF202" s="323"/>
      <c r="CG202" s="323"/>
      <c r="CH202" s="323"/>
      <c r="CI202" s="323"/>
      <c r="CJ202" s="323"/>
      <c r="CK202" s="323"/>
      <c r="CL202" s="323"/>
      <c r="CM202" s="323"/>
      <c r="CN202" s="323"/>
      <c r="CO202" s="323"/>
      <c r="CP202" s="439"/>
      <c r="CQ202" s="440"/>
      <c r="CR202" s="323"/>
      <c r="CS202" s="323"/>
      <c r="CT202" s="323"/>
      <c r="CU202" s="323"/>
      <c r="CV202" s="323"/>
      <c r="CW202" s="323"/>
      <c r="CX202" s="323"/>
      <c r="CY202" s="323"/>
      <c r="CZ202" s="323"/>
      <c r="EK202" s="1070"/>
      <c r="EL202" s="1070"/>
      <c r="EM202" s="1070"/>
      <c r="EN202" s="1070"/>
      <c r="EO202" s="1070"/>
      <c r="EP202" s="1070"/>
      <c r="EQ202" s="1070"/>
    </row>
    <row r="203" spans="2:222" ht="40.4" customHeight="1" x14ac:dyDescent="0.35">
      <c r="B203" s="208" t="str">
        <f>'LCA data'!B$32</f>
        <v>Isolering</v>
      </c>
      <c r="C203" s="465">
        <f>IF($C$43-C213-C223-C233-C243&lt;0,0,$C$43-C213-C223-C233-C243)</f>
        <v>200</v>
      </c>
      <c r="D203" s="168" t="s">
        <v>103</v>
      </c>
      <c r="E203" s="342" t="str">
        <f>IF($E$201=$C$72,D203,VLOOKUP(B203,Auto_Terrændæk[],VLOOKUP($X$29,Type_Tung_Middel_Let[],2,0),0))</f>
        <v>EPS</v>
      </c>
      <c r="F203" s="356">
        <f>VLOOKUP(E204,Pris.Terrændæk.konstruktion[],5,0)/1000</f>
        <v>0.3</v>
      </c>
      <c r="G203" s="475">
        <f>VLOOKUP(E203,Isoleringsmateriale[],2,0)</f>
        <v>3.1E-2</v>
      </c>
      <c r="H203" s="351">
        <f>IFERROR(IF(VLOOKUP(B203&amp;"_"&amp;E203,'LCA data'!$B$7:$X$200,2,FALSE)&lt;$Y$24,1,0)+IF(VLOOKUP(B203&amp;"_"&amp;E203,'LCA data'!$B$7:$X$200,2,FALSE)*2&lt;$Y$24,1,0),"")</f>
        <v>0</v>
      </c>
      <c r="I203" s="168" t="s">
        <v>103</v>
      </c>
      <c r="J203" s="342" t="str">
        <f>IF($J$201=$C$72,I203,VLOOKUP(B203,Auto_Terrændæk[],VLOOKUP($Y$29,Type_Tung_Middel_Let[],2,0),0))</f>
        <v>Papiruld</v>
      </c>
      <c r="K203" s="513">
        <f>VLOOKUP(J204,Pris.Terrændæk.konstruktion[],5,0)/1000</f>
        <v>0.375</v>
      </c>
      <c r="L203" s="521">
        <f>VLOOKUP(J203,Isoleringsmateriale[],2,0)</f>
        <v>0.04</v>
      </c>
      <c r="M203" s="515">
        <f>IFERROR(IF(VLOOKUP(B203&amp;"_"&amp;J203,'LCA data'!$B$7:$X$200,2,FALSE)&lt;$Y$24,1,0)+IF(VLOOKUP(B203&amp;"_"&amp;J203,'LCA data'!$B$7:$X$200,2,FALSE)*2&lt;$Y$24,1,0),"")</f>
        <v>0</v>
      </c>
      <c r="N203" s="206">
        <f>W203/1000</f>
        <v>9.6780000000000008</v>
      </c>
      <c r="O203" s="878"/>
      <c r="P203" s="207">
        <f>X203/1000</f>
        <v>1.9281975000000002</v>
      </c>
      <c r="Q203" s="878"/>
      <c r="R203" s="192"/>
      <c r="S203" s="196"/>
      <c r="V203" s="251"/>
      <c r="W203" s="323">
        <f>IF(E203="Angiv ikke",0,((1+H203)*VLOOKUP(B203&amp;"_"&amp;E203,'LCA data'!$B$7:$X$360,19,FALSE)*(F203*10^3)*C203))</f>
        <v>9678</v>
      </c>
      <c r="X203" s="323">
        <f>IF(J203="Angiv ikke",0,((1+M203)*VLOOKUP(B203&amp;"_"&amp;J203,'LCA data'!$B$7:$X$360,19,FALSE)*(K203*10^3)*C203))</f>
        <v>1928.1975000000002</v>
      </c>
      <c r="Y203" s="323">
        <f>IF(G203="_",0,AC202*$J$21*$Y$24)</f>
        <v>3854.5771176973121</v>
      </c>
      <c r="Z203" s="323">
        <f>IF(L203="_",0,AC203*$J$21*$Y$24)</f>
        <v>3977.0888071466102</v>
      </c>
      <c r="AA203" s="323" t="s">
        <v>5</v>
      </c>
      <c r="AB203" s="323">
        <f>AG203/$J$21/$Y$24*1000</f>
        <v>0.72779971547857203</v>
      </c>
      <c r="AC203" s="323">
        <f>Varmetab!I77</f>
        <v>0.19885444035733052</v>
      </c>
      <c r="AD203" s="323">
        <f>AB203+AC203</f>
        <v>0.92665415583590249</v>
      </c>
      <c r="AE203" s="323" t="s">
        <v>5</v>
      </c>
      <c r="AF203" s="323"/>
      <c r="AG203" s="323">
        <f>X201/1000</f>
        <v>14.555994309571441</v>
      </c>
      <c r="AH203" s="323"/>
      <c r="AI203" s="323" t="s">
        <v>743</v>
      </c>
      <c r="AJ203" s="323">
        <f>SUM(AJ199:AJ202)</f>
        <v>431075</v>
      </c>
      <c r="AK203" s="323">
        <f>SUM(AK199:AK202)</f>
        <v>633974.85714285716</v>
      </c>
      <c r="AL203" s="323"/>
      <c r="AM203" s="323"/>
      <c r="AN203" s="323">
        <f>IF(E203="Angiv ikke",0,((1+H203)*VLOOKUP(B203&amp;"_"&amp;E203,'LCA data'!$B$7:$X$360,20,FALSE)*(F203*10^3)*C203))</f>
        <v>-2712</v>
      </c>
      <c r="AO203" s="323">
        <f>IF(J203="Angiv ikke",0,((1+M203)*VLOOKUP(B203&amp;"_"&amp;J203,'LCA data'!$B$7:$X$360,20,FALSE)*(K203*10^3)*C203))</f>
        <v>-2288</v>
      </c>
      <c r="AP203" s="323"/>
      <c r="AQ203" s="323"/>
      <c r="AR203" s="323">
        <f>IF(E203="Angiv ikke",0,((1+H203)*VLOOKUP(B203&amp;"_"&amp;E203,'LCA data'!$B$7:$AA$360,26,FALSE)*(F203*10^3)*C203))</f>
        <v>0</v>
      </c>
      <c r="AS203" s="323">
        <f>IF(J203="Angiv ikke",0,((1+M203)*VLOOKUP(B203&amp;"_"&amp;J203,'LCA data'!$B$7:$AA$360,26,FALSE)*(K203*10^3)*C203))</f>
        <v>3375</v>
      </c>
      <c r="AT203" s="323"/>
      <c r="AU203" s="323"/>
      <c r="AV203" s="323"/>
      <c r="AW203" s="323"/>
      <c r="AX203" s="323"/>
      <c r="AY203" s="323"/>
      <c r="AZ203" s="323"/>
      <c r="BA203" s="323"/>
      <c r="BB203" s="323"/>
      <c r="BC203" s="323"/>
      <c r="BD203" s="323"/>
      <c r="BE203" s="323"/>
      <c r="BF203" s="323"/>
      <c r="BG203" s="323"/>
      <c r="BH203" s="323"/>
      <c r="BI203" s="323"/>
      <c r="BJ203" s="323"/>
      <c r="BK203" s="323"/>
      <c r="BL203" s="323"/>
      <c r="BM203" s="323"/>
      <c r="BN203" s="323"/>
      <c r="BO203" s="323"/>
      <c r="BP203" s="323"/>
      <c r="BQ203" s="323"/>
      <c r="BR203" s="323"/>
      <c r="BS203" s="323"/>
      <c r="BT203" s="323"/>
      <c r="BU203" s="323"/>
      <c r="BV203" s="323"/>
      <c r="BW203" s="323"/>
      <c r="BX203" s="323"/>
      <c r="BY203" s="323"/>
      <c r="BZ203" s="323"/>
      <c r="CA203" s="323"/>
      <c r="CB203" s="323"/>
      <c r="CC203" s="323"/>
      <c r="CD203" s="323"/>
      <c r="CE203" s="323"/>
      <c r="CF203" s="323"/>
      <c r="CG203" s="323"/>
      <c r="CH203" s="323"/>
      <c r="CI203" s="323"/>
      <c r="CJ203" s="323"/>
      <c r="CK203" s="323"/>
      <c r="CL203" s="323"/>
      <c r="CM203" s="323"/>
      <c r="CN203" s="323"/>
      <c r="CO203" s="323"/>
      <c r="CP203" s="439"/>
      <c r="CQ203" s="440"/>
      <c r="CR203" s="323"/>
      <c r="CS203" s="323"/>
      <c r="CT203" s="323"/>
      <c r="CU203" s="323"/>
      <c r="CV203" s="323"/>
      <c r="CW203" s="323"/>
      <c r="CX203" s="323"/>
      <c r="CY203" s="323"/>
      <c r="CZ203" s="323"/>
      <c r="EK203" s="1070"/>
      <c r="EL203" s="1070"/>
      <c r="EM203" s="1070"/>
      <c r="EN203" s="1070"/>
      <c r="EO203" s="1070"/>
      <c r="EP203" s="1070"/>
      <c r="EQ203" s="1070"/>
    </row>
    <row r="204" spans="2:222" ht="40.4" customHeight="1" thickBot="1" x14ac:dyDescent="0.4">
      <c r="B204" s="205" t="str">
        <f>'LCA data'!$B$119</f>
        <v>Terrændæk</v>
      </c>
      <c r="C204" s="465">
        <f>IF($C$43-C214-C224-C234-C244&lt;0,0,$C$43-C214-C224-C234-C244)</f>
        <v>200</v>
      </c>
      <c r="D204" s="169" t="s">
        <v>103</v>
      </c>
      <c r="E204" s="342" t="str">
        <f>IF($E$201=$C$72,D204,VLOOKUP(B204,Auto_Terrændæk[],VLOOKUP($X$29,Type_Tung_Middel_Let[],2,0),0))</f>
        <v>Beton C25/30</v>
      </c>
      <c r="F204" s="350">
        <f>VLOOKUP(E204,Pris.Terrændæk.konstruktion[],4,0)/1000</f>
        <v>0.15</v>
      </c>
      <c r="G204" s="350"/>
      <c r="H204" s="351">
        <f>IFERROR(IF(VLOOKUP(B204&amp;"_"&amp;E204,'LCA data'!$B$7:$X$200,2,FALSE)&lt;$Y$24,1,0)+IF(VLOOKUP(B204&amp;"_"&amp;E204,'LCA data'!$B$7:$X$200,2,FALSE)*2&lt;$Y$24,1,0),"")</f>
        <v>0</v>
      </c>
      <c r="I204" s="169" t="s">
        <v>103</v>
      </c>
      <c r="J204" s="342" t="str">
        <f>IF($J$201=$C$72,I204,VLOOKUP(B204,Auto_Terrændæk[],VLOOKUP($Y$29,Type_Tung_Middel_Let[],2,0),0))</f>
        <v>Trækassette</v>
      </c>
      <c r="K204" s="514">
        <f>VLOOKUP(J204,Pris.Terrændæk.konstruktion[],4,0)/1000</f>
        <v>0.375</v>
      </c>
      <c r="L204" s="514"/>
      <c r="M204" s="515">
        <f>IFERROR(IF(VLOOKUP(B204&amp;"_"&amp;J204,'LCA data'!$B$7:$X$200,2,FALSE)&lt;$Y$24,1,0)+IF(VLOOKUP(B204&amp;"_"&amp;J204,'LCA data'!$B$7:$X$200,2,FALSE)*2&lt;$Y$24,1,0),"")</f>
        <v>0</v>
      </c>
      <c r="N204" s="206">
        <f>W204/1000</f>
        <v>8.6070556050000011</v>
      </c>
      <c r="O204" s="878"/>
      <c r="P204" s="207">
        <f>X204/1000</f>
        <v>5.5211320285714409</v>
      </c>
      <c r="Q204" s="878"/>
      <c r="R204" s="192"/>
      <c r="S204" s="196"/>
      <c r="V204" s="251"/>
      <c r="W204" s="323">
        <f>IF(E204="Angiv ikke",0,((1+H204)*VLOOKUP(B204&amp;"_"&amp;E204,'LCA data'!$B$7:$X$360,19,FALSE)*(F204*10^3)*C204))</f>
        <v>8607.0556050000014</v>
      </c>
      <c r="X204" s="323">
        <f>IF(J204="Angiv ikke",0,((1+M204)*VLOOKUP(B204&amp;"_"&amp;J204,'LCA data'!$B$7:$X$360,19,FALSE)*(K204*10^3)*C204))</f>
        <v>5521.132028571441</v>
      </c>
      <c r="Y204" s="323"/>
      <c r="Z204" s="323"/>
      <c r="AA204" s="323"/>
      <c r="AB204" s="323"/>
      <c r="AC204" s="323"/>
      <c r="AD204" s="323"/>
      <c r="AE204" s="323"/>
      <c r="AF204" s="323"/>
      <c r="AG204" s="323"/>
      <c r="AH204" s="323"/>
      <c r="AI204" s="323"/>
      <c r="AJ204" s="323"/>
      <c r="AK204" s="323"/>
      <c r="AL204" s="323"/>
      <c r="AM204" s="323"/>
      <c r="AN204" s="323">
        <f>IF(E204="Angiv ikke",0,((1+H204)*VLOOKUP(B204&amp;"_"&amp;E204,'LCA data'!$B$7:$X$360,20,FALSE)*(F204*10^3)*C204))</f>
        <v>-727.5</v>
      </c>
      <c r="AO204" s="323">
        <f>IF(J204="Angiv ikke",0,((1+M204)*VLOOKUP(B204&amp;"_"&amp;J204,'LCA data'!$B$7:$X$360,20,FALSE)*(K204*10^3)*C204))</f>
        <v>-4146.9588651428603</v>
      </c>
      <c r="AP204" s="323"/>
      <c r="AQ204" s="323"/>
      <c r="AR204" s="323">
        <f>IF(E204="Angiv ikke",0,((1+H204)*VLOOKUP(B204&amp;"_"&amp;E204,'LCA data'!$B$7:$AA$360,26,FALSE)*(F204*10^3)*C204))</f>
        <v>0</v>
      </c>
      <c r="AS204" s="323">
        <f>IF(J204="Angiv ikke",0,((1+M204)*VLOOKUP(B204&amp;"_"&amp;J204,'LCA data'!$B$7:$AA$360,26,FALSE)*(K204*10^3)*C204))</f>
        <v>7656</v>
      </c>
      <c r="AT204" s="323"/>
      <c r="AU204" s="323"/>
      <c r="AV204" s="323"/>
      <c r="AW204" s="323"/>
      <c r="AX204" s="323"/>
      <c r="AY204" s="323"/>
      <c r="AZ204" s="323"/>
      <c r="BA204" s="323"/>
      <c r="BB204" s="323"/>
      <c r="BC204" s="323"/>
      <c r="BD204" s="323"/>
      <c r="BE204" s="323"/>
      <c r="BF204" s="323"/>
      <c r="BG204" s="323"/>
      <c r="BH204" s="323"/>
      <c r="BI204" s="323"/>
      <c r="BJ204" s="323"/>
      <c r="BK204" s="323"/>
      <c r="BL204" s="323"/>
      <c r="BM204" s="323"/>
      <c r="BN204" s="323"/>
      <c r="BO204" s="323"/>
      <c r="BP204" s="323"/>
      <c r="BQ204" s="323"/>
      <c r="BR204" s="323"/>
      <c r="BS204" s="323"/>
      <c r="BT204" s="323"/>
      <c r="BU204" s="323"/>
      <c r="BV204" s="323"/>
      <c r="BW204" s="323"/>
      <c r="BX204" s="323"/>
      <c r="BY204" s="323"/>
      <c r="BZ204" s="323"/>
      <c r="CA204" s="323"/>
      <c r="CB204" s="323"/>
      <c r="CC204" s="323"/>
      <c r="CD204" s="323"/>
      <c r="CE204" s="323"/>
      <c r="CF204" s="323"/>
      <c r="CG204" s="323"/>
      <c r="CH204" s="323"/>
      <c r="CI204" s="323"/>
      <c r="CJ204" s="323"/>
      <c r="CK204" s="323"/>
      <c r="CL204" s="323"/>
      <c r="CM204" s="323"/>
      <c r="CN204" s="323"/>
      <c r="CO204" s="323"/>
      <c r="CP204" s="439"/>
      <c r="CQ204" s="440"/>
      <c r="CR204" s="323"/>
      <c r="CS204" s="323"/>
      <c r="CT204" s="323"/>
      <c r="CU204" s="323"/>
      <c r="CV204" s="323"/>
      <c r="CW204" s="323"/>
      <c r="CX204" s="323"/>
      <c r="CY204" s="323"/>
      <c r="CZ204" s="323"/>
      <c r="EK204" s="1070"/>
      <c r="EL204" s="1070"/>
      <c r="EM204" s="1070"/>
      <c r="EN204" s="1070"/>
      <c r="EO204" s="1070"/>
      <c r="EP204" s="1070"/>
      <c r="EQ204" s="1070"/>
    </row>
    <row r="205" spans="2:222" ht="40.4" customHeight="1" thickBot="1" x14ac:dyDescent="0.4">
      <c r="B205" s="209" t="str">
        <f>'LCA data'!$B$129</f>
        <v>Kapillarbrydende lag</v>
      </c>
      <c r="C205" s="468">
        <f>IF($C$43-C215-C225-C235-C245&lt;0,0,$C$43-C215-C225-C235-C245)</f>
        <v>200</v>
      </c>
      <c r="D205" s="171" t="s">
        <v>103</v>
      </c>
      <c r="E205" s="344" t="str">
        <f>IF($E$201=$C$72,D205,VLOOKUP(B205,Auto_Terrændæk[],VLOOKUP($X$29,Type_Tung_Middel_Let[],2,0),0))</f>
        <v>Letklinker</v>
      </c>
      <c r="F205" s="474">
        <f>(VLOOKUP(E205,Pris.kapillarbryddende.lag[],4,0))/1000</f>
        <v>0.15</v>
      </c>
      <c r="G205" s="354"/>
      <c r="H205" s="355">
        <f>IFERROR(IF(VLOOKUP(B205&amp;"_"&amp;E205,'LCA data'!$B$7:$X$200,2,FALSE)&lt;$Y$24,1,0)+IF(VLOOKUP(B205&amp;"_"&amp;E205,'LCA data'!$B$7:$X$200,2,FALSE)*2&lt;$Y$24,1,0),"")</f>
        <v>0</v>
      </c>
      <c r="I205" s="171" t="s">
        <v>103</v>
      </c>
      <c r="J205" s="344" t="str">
        <f>IF($J$201=$C$72,I205,VLOOKUP(B205,Auto_Terrændæk[],VLOOKUP($Y$29,Type_Tung_Middel_Let[],2,0),0))</f>
        <v>Letklinker</v>
      </c>
      <c r="K205" s="522">
        <f>(VLOOKUP(J205,Pris.kapillarbryddende.lag[],4,0))/1000</f>
        <v>0.15</v>
      </c>
      <c r="L205" s="519"/>
      <c r="M205" s="520">
        <f>IFERROR(IF(VLOOKUP(B205&amp;"_"&amp;J205,'LCA data'!$B$7:$X$200,2,FALSE)&lt;$Y$24,1,0)+IF(VLOOKUP(B205&amp;"_"&amp;J205,'LCA data'!$B$7:$X$200,2,FALSE)*2&lt;$Y$24,1,0),"")</f>
        <v>0</v>
      </c>
      <c r="N205" s="210">
        <f>W205/1000</f>
        <v>5.8079399999999994</v>
      </c>
      <c r="O205" s="879"/>
      <c r="P205" s="211">
        <f>X205/1000</f>
        <v>5.8079399999999994</v>
      </c>
      <c r="Q205" s="879"/>
      <c r="R205" s="212"/>
      <c r="S205" s="213"/>
      <c r="V205" s="251"/>
      <c r="W205" s="323">
        <f>IF(E205="Angiv ikke",0,((1+H205)*VLOOKUP(B205&amp;"_"&amp;E205,'LCA data'!$B$7:$X$360,19,FALSE)*(F205*10^3)*C205))</f>
        <v>5807.94</v>
      </c>
      <c r="X205" s="323">
        <f>IF(J205="Angiv ikke",0,((1+M205)*VLOOKUP(B205&amp;"_"&amp;J205,'LCA data'!$B$7:$X$360,19,FALSE)*(K205*10^3)*C205))</f>
        <v>5807.94</v>
      </c>
      <c r="Y205" s="323"/>
      <c r="Z205" s="323"/>
      <c r="AA205" s="323"/>
      <c r="AB205" s="323"/>
      <c r="AC205" s="323"/>
      <c r="AD205" s="323"/>
      <c r="AE205" s="323"/>
      <c r="AF205" s="323"/>
      <c r="AG205" s="323"/>
      <c r="AH205" s="323"/>
      <c r="AI205" s="323"/>
      <c r="AJ205" s="323"/>
      <c r="AK205" s="323"/>
      <c r="AL205" s="323"/>
      <c r="AM205" s="323"/>
      <c r="AN205" s="323">
        <f>IF(E205="Angiv ikke",0,((1+H205)*VLOOKUP(B205&amp;"_"&amp;E205,'LCA data'!$B$7:$X$360,20,FALSE)*(F205*10^3)*C205))</f>
        <v>0</v>
      </c>
      <c r="AO205" s="323">
        <f>IF(J205="Angiv ikke",0,((1+M205)*VLOOKUP(B205&amp;"_"&amp;J205,'LCA data'!$B$7:$X$360,20,FALSE)*(K205*10^3)*C205))</f>
        <v>0</v>
      </c>
      <c r="AP205" s="323"/>
      <c r="AQ205" s="323"/>
      <c r="AR205" s="323">
        <f>IF(E205="Angiv ikke",0,((1+H205)*VLOOKUP(B205&amp;"_"&amp;E205,'LCA data'!$B$7:$AA$360,26,FALSE)*(F205*10^3)*C205))</f>
        <v>0</v>
      </c>
      <c r="AS205" s="323">
        <f>IF(J205="Angiv ikke",0,((1+M205)*VLOOKUP(B205&amp;"_"&amp;J205,'LCA data'!$B$7:$AA$360,26,FALSE)*(K205*10^3)*C205))</f>
        <v>0</v>
      </c>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c r="BO205" s="323"/>
      <c r="BP205" s="323"/>
      <c r="BQ205" s="323"/>
      <c r="BR205" s="323"/>
      <c r="BS205" s="323"/>
      <c r="BT205" s="323"/>
      <c r="BU205" s="323"/>
      <c r="BV205" s="323"/>
      <c r="BW205" s="323"/>
      <c r="BX205" s="323"/>
      <c r="BY205" s="323"/>
      <c r="BZ205" s="323"/>
      <c r="CA205" s="323"/>
      <c r="CB205" s="323"/>
      <c r="CC205" s="323"/>
      <c r="CD205" s="323"/>
      <c r="CE205" s="323"/>
      <c r="CF205" s="323"/>
      <c r="CG205" s="323"/>
      <c r="CH205" s="323"/>
      <c r="CI205" s="323"/>
      <c r="CJ205" s="323"/>
      <c r="CK205" s="323"/>
      <c r="CL205" s="323"/>
      <c r="CM205" s="323"/>
      <c r="CN205" s="323"/>
      <c r="CO205" s="323"/>
      <c r="CP205" s="1144" t="s">
        <v>77</v>
      </c>
      <c r="CQ205" s="1145"/>
      <c r="CR205" s="323"/>
      <c r="CS205" s="323"/>
      <c r="CT205" s="323"/>
      <c r="CU205" s="323"/>
      <c r="CV205" s="323"/>
      <c r="CW205" s="323"/>
      <c r="CX205" s="323"/>
      <c r="CY205" s="323"/>
      <c r="CZ205" s="323"/>
      <c r="EK205" s="1070"/>
      <c r="EL205" s="1070"/>
      <c r="EM205" s="1070"/>
      <c r="EN205" s="1070"/>
      <c r="EO205" s="1070"/>
      <c r="EP205" s="1070"/>
      <c r="EQ205" s="1070"/>
    </row>
    <row r="206" spans="2:222" ht="13.5" customHeight="1" x14ac:dyDescent="0.35">
      <c r="B206" s="173" t="s">
        <v>118</v>
      </c>
      <c r="N206" s="218"/>
      <c r="P206" s="216"/>
      <c r="R206" s="217"/>
      <c r="V206" s="251"/>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c r="BO206" s="323"/>
      <c r="BP206" s="323"/>
      <c r="BQ206" s="323"/>
      <c r="BR206" s="323"/>
      <c r="BS206" s="323"/>
      <c r="BT206" s="323"/>
      <c r="BU206" s="323"/>
      <c r="BV206" s="323"/>
      <c r="BW206" s="323"/>
      <c r="BX206" s="323"/>
      <c r="BY206" s="323"/>
      <c r="BZ206" s="323"/>
      <c r="CA206" s="323"/>
      <c r="CB206" s="323"/>
      <c r="CC206" s="323"/>
      <c r="CD206" s="323"/>
      <c r="CE206" s="323"/>
      <c r="CF206" s="323"/>
      <c r="CG206" s="323"/>
      <c r="CH206" s="323"/>
      <c r="CI206" s="323"/>
      <c r="CJ206" s="323"/>
      <c r="CK206" s="323"/>
      <c r="CL206" s="323"/>
      <c r="CM206" s="323"/>
      <c r="CN206" s="323"/>
      <c r="CO206" s="323"/>
      <c r="CP206" s="431"/>
      <c r="CQ206" s="432"/>
      <c r="CR206" s="323"/>
      <c r="CS206" s="323"/>
      <c r="CT206" s="323"/>
      <c r="CU206" s="323"/>
      <c r="CV206" s="323"/>
      <c r="CW206" s="323"/>
      <c r="CX206" s="323"/>
      <c r="CY206" s="323"/>
      <c r="CZ206" s="323"/>
      <c r="EK206" s="1070"/>
      <c r="EL206" s="1070"/>
      <c r="EM206" s="1070"/>
      <c r="EN206" s="1070"/>
      <c r="EO206" s="1070"/>
      <c r="EP206" s="1070"/>
      <c r="EQ206" s="1070"/>
    </row>
    <row r="207" spans="2:222" ht="18.649999999999999" customHeight="1" thickBot="1" x14ac:dyDescent="0.4">
      <c r="B207" s="555"/>
      <c r="C207" s="555"/>
      <c r="D207" s="542"/>
      <c r="E207" s="555"/>
      <c r="F207" s="555"/>
      <c r="G207" s="555"/>
      <c r="H207" s="555"/>
      <c r="I207" s="542"/>
      <c r="J207" s="555"/>
      <c r="K207" s="555"/>
      <c r="L207" s="555"/>
      <c r="M207" s="555"/>
      <c r="R207" s="217"/>
      <c r="S207" s="217"/>
      <c r="V207" s="251"/>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c r="BO207" s="323"/>
      <c r="BP207" s="323"/>
      <c r="BQ207" s="323"/>
      <c r="BR207" s="323"/>
      <c r="BS207" s="323"/>
      <c r="BT207" s="323"/>
      <c r="BU207" s="323"/>
      <c r="BV207" s="323"/>
      <c r="BW207" s="323"/>
      <c r="BX207" s="323"/>
      <c r="BY207" s="323"/>
      <c r="BZ207" s="323"/>
      <c r="CA207" s="323"/>
      <c r="CB207" s="323"/>
      <c r="CC207" s="323"/>
      <c r="CD207" s="323"/>
      <c r="CE207" s="323"/>
      <c r="CF207" s="323"/>
      <c r="CG207" s="323"/>
      <c r="CH207" s="323"/>
      <c r="CI207" s="323"/>
      <c r="CJ207" s="323"/>
      <c r="CK207" s="323"/>
      <c r="CL207" s="323"/>
      <c r="CM207" s="323"/>
      <c r="CN207" s="323"/>
      <c r="CO207" s="323"/>
      <c r="CP207" s="431"/>
      <c r="CQ207" s="433"/>
      <c r="CR207" s="323"/>
      <c r="CS207" s="323"/>
      <c r="CT207" s="323"/>
      <c r="CU207" s="323"/>
      <c r="CV207" s="323"/>
      <c r="CW207" s="323"/>
      <c r="CX207" s="323"/>
      <c r="CY207" s="323"/>
      <c r="CZ207" s="323"/>
      <c r="EK207" s="1070"/>
      <c r="EL207" s="1070"/>
      <c r="EM207" s="1070"/>
      <c r="EN207" s="1070"/>
      <c r="EO207" s="1070"/>
      <c r="EP207" s="1070"/>
      <c r="EQ207" s="1070"/>
    </row>
    <row r="208" spans="2:222" ht="37.5" customHeight="1" outlineLevel="1" x14ac:dyDescent="0.35">
      <c r="B208" s="493" t="s">
        <v>112</v>
      </c>
      <c r="C208" s="499"/>
      <c r="D208" s="506"/>
      <c r="E208" s="506" t="s">
        <v>36</v>
      </c>
      <c r="F208" s="499"/>
      <c r="G208" s="499"/>
      <c r="H208" s="499"/>
      <c r="I208" s="500" t="str">
        <f>"Terrændæk"&amp;" "&amp;2</f>
        <v>Terrændæk 2</v>
      </c>
      <c r="J208" s="500"/>
      <c r="K208" s="499"/>
      <c r="L208" s="499"/>
      <c r="M208" s="499"/>
      <c r="N208" s="499"/>
      <c r="O208" s="499"/>
      <c r="P208" s="499"/>
      <c r="Q208" s="501"/>
      <c r="R208" s="190"/>
      <c r="S208" s="191"/>
      <c r="V208" s="251"/>
      <c r="W208" s="323">
        <f>IF(D211=$D$82,1,0)</f>
        <v>1</v>
      </c>
      <c r="X208" s="323">
        <f>IF(I211=$D$82,1,0)</f>
        <v>1</v>
      </c>
      <c r="Y208" s="323"/>
      <c r="Z208" s="323"/>
      <c r="AA208" s="323"/>
      <c r="AB208" s="323"/>
      <c r="AC208" s="323"/>
      <c r="AD208" s="323"/>
      <c r="AE208" s="323"/>
      <c r="AF208" s="323"/>
      <c r="AG208" s="323"/>
      <c r="AH208" s="323"/>
      <c r="AI208" s="323"/>
      <c r="AJ208" s="323" t="s">
        <v>746</v>
      </c>
      <c r="AK208" s="323" t="s">
        <v>747</v>
      </c>
      <c r="AL208" s="323"/>
      <c r="AM208" s="323"/>
      <c r="AN208" s="323" t="s">
        <v>846</v>
      </c>
      <c r="AO208" s="323"/>
      <c r="AP208" s="323"/>
      <c r="AQ208" s="323"/>
      <c r="AR208" s="323" t="s">
        <v>851</v>
      </c>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3"/>
      <c r="BR208" s="323"/>
      <c r="BS208" s="323"/>
      <c r="BT208" s="323"/>
      <c r="BU208" s="323"/>
      <c r="BV208" s="323"/>
      <c r="BW208" s="323"/>
      <c r="BX208" s="323"/>
      <c r="BY208" s="323"/>
      <c r="BZ208" s="323"/>
      <c r="CA208" s="323"/>
      <c r="CB208" s="323"/>
      <c r="CC208" s="323"/>
      <c r="CD208" s="323"/>
      <c r="CE208" s="323"/>
      <c r="CF208" s="323"/>
      <c r="CG208" s="323"/>
      <c r="CH208" s="323"/>
      <c r="CI208" s="323"/>
      <c r="CJ208" s="323"/>
      <c r="CK208" s="323"/>
      <c r="CL208" s="323"/>
      <c r="CM208" s="323"/>
      <c r="CN208" s="323"/>
      <c r="CO208" s="323"/>
      <c r="CP208" s="431"/>
      <c r="CQ208" s="434"/>
      <c r="CR208" s="323"/>
      <c r="CS208" s="323"/>
      <c r="CT208" s="323"/>
      <c r="CU208" s="323"/>
      <c r="CV208" s="323"/>
      <c r="CW208" s="323"/>
      <c r="CX208" s="323"/>
      <c r="CY208" s="323"/>
      <c r="CZ208" s="323"/>
      <c r="EK208" s="1070"/>
      <c r="EL208" s="1070"/>
      <c r="EM208" s="1070"/>
      <c r="EN208" s="1070"/>
      <c r="EO208" s="1070"/>
      <c r="EP208" s="1070"/>
      <c r="EQ208" s="1070"/>
    </row>
    <row r="209" spans="2:222" ht="40.4" customHeight="1" outlineLevel="1" x14ac:dyDescent="0.35">
      <c r="B209" s="359" t="s">
        <v>78</v>
      </c>
      <c r="C209" s="195" t="s">
        <v>80</v>
      </c>
      <c r="D209" s="910" t="s">
        <v>4</v>
      </c>
      <c r="E209" s="911"/>
      <c r="F209" s="911"/>
      <c r="G209" s="911"/>
      <c r="H209" s="912"/>
      <c r="I209" s="885" t="s">
        <v>5</v>
      </c>
      <c r="J209" s="886"/>
      <c r="K209" s="886"/>
      <c r="L209" s="886"/>
      <c r="M209" s="887"/>
      <c r="N209" s="877" t="s">
        <v>79</v>
      </c>
      <c r="O209" s="877"/>
      <c r="P209" s="877"/>
      <c r="Q209" s="881"/>
      <c r="R209" s="192"/>
      <c r="S209" s="193"/>
      <c r="T209" s="175"/>
      <c r="V209" s="251"/>
      <c r="W209" s="323"/>
      <c r="X209" s="323"/>
      <c r="Y209" s="323"/>
      <c r="Z209" s="323"/>
      <c r="AA209" s="323"/>
      <c r="AB209" s="323"/>
      <c r="AC209" s="323"/>
      <c r="AD209" s="323"/>
      <c r="AE209" s="323"/>
      <c r="AF209" s="323"/>
      <c r="AG209" s="323"/>
      <c r="AH209" s="323"/>
      <c r="AI209" s="323" t="s">
        <v>338</v>
      </c>
      <c r="AJ209" s="323">
        <f>VLOOKUP(E212,Pris.gulv.belægning[],2,0)*C212</f>
        <v>0</v>
      </c>
      <c r="AK209" s="323">
        <f>VLOOKUP(J212,Pris.gulv.belægning[],2,0)*C212</f>
        <v>0</v>
      </c>
      <c r="AL209" s="323"/>
      <c r="AM209" s="323"/>
      <c r="AN209" s="323" t="s">
        <v>4</v>
      </c>
      <c r="AO209" s="323" t="s">
        <v>5</v>
      </c>
      <c r="AP209" s="323"/>
      <c r="AQ209" s="323"/>
      <c r="AR209" s="323" t="s">
        <v>4</v>
      </c>
      <c r="AS209" s="323" t="s">
        <v>5</v>
      </c>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c r="BP209" s="323"/>
      <c r="BQ209" s="323"/>
      <c r="BR209" s="323"/>
      <c r="BS209" s="323"/>
      <c r="BT209" s="323"/>
      <c r="BU209" s="323"/>
      <c r="BV209" s="323"/>
      <c r="BW209" s="323"/>
      <c r="BX209" s="323"/>
      <c r="BY209" s="323"/>
      <c r="BZ209" s="323"/>
      <c r="CA209" s="323"/>
      <c r="CB209" s="323"/>
      <c r="CC209" s="323"/>
      <c r="CD209" s="323"/>
      <c r="CE209" s="323"/>
      <c r="CF209" s="323"/>
      <c r="CG209" s="323"/>
      <c r="CH209" s="323"/>
      <c r="CI209" s="323"/>
      <c r="CJ209" s="323"/>
      <c r="CK209" s="323"/>
      <c r="CL209" s="323"/>
      <c r="CM209" s="323"/>
      <c r="CN209" s="323"/>
      <c r="CO209" s="323"/>
      <c r="CP209" s="431"/>
      <c r="CQ209" s="433"/>
      <c r="CR209" s="323"/>
      <c r="CS209" s="323"/>
      <c r="CT209" s="323"/>
      <c r="CU209" s="323"/>
      <c r="CV209" s="323"/>
      <c r="CW209" s="323"/>
      <c r="CX209" s="323"/>
      <c r="CY209" s="323"/>
      <c r="CZ209" s="323"/>
      <c r="EK209" s="1070"/>
      <c r="EL209" s="1070"/>
      <c r="EM209" s="1070"/>
      <c r="EN209" s="1070"/>
      <c r="EO209" s="1070"/>
      <c r="EP209" s="1070"/>
      <c r="EQ209" s="1070"/>
    </row>
    <row r="210" spans="2:222" ht="44.15" customHeight="1" outlineLevel="1" x14ac:dyDescent="0.35">
      <c r="B210" s="194"/>
      <c r="C210" s="665">
        <v>0</v>
      </c>
      <c r="D210" s="908" t="s">
        <v>797</v>
      </c>
      <c r="E210" s="909"/>
      <c r="F210" s="338" t="s">
        <v>82</v>
      </c>
      <c r="G210" s="338" t="s">
        <v>83</v>
      </c>
      <c r="H210" s="346" t="s">
        <v>84</v>
      </c>
      <c r="I210" s="913" t="s">
        <v>797</v>
      </c>
      <c r="J210" s="914"/>
      <c r="K210" s="479" t="s">
        <v>82</v>
      </c>
      <c r="L210" s="479" t="s">
        <v>83</v>
      </c>
      <c r="M210" s="508" t="s">
        <v>84</v>
      </c>
      <c r="N210" s="195" t="s">
        <v>4</v>
      </c>
      <c r="O210" s="195" t="s">
        <v>85</v>
      </c>
      <c r="P210" s="195" t="s">
        <v>5</v>
      </c>
      <c r="Q210" s="357" t="s">
        <v>86</v>
      </c>
      <c r="R210" s="192"/>
      <c r="S210" s="196"/>
      <c r="V210" s="251"/>
      <c r="W210" s="323" t="s">
        <v>87</v>
      </c>
      <c r="X210" s="323" t="s">
        <v>88</v>
      </c>
      <c r="Y210" s="323" t="s">
        <v>89</v>
      </c>
      <c r="Z210" s="323" t="s">
        <v>90</v>
      </c>
      <c r="AA210" s="323" t="s">
        <v>91</v>
      </c>
      <c r="AB210" s="323"/>
      <c r="AC210" s="323"/>
      <c r="AD210" s="323"/>
      <c r="AE210" s="323" t="s">
        <v>92</v>
      </c>
      <c r="AF210" s="323"/>
      <c r="AG210" s="323"/>
      <c r="AH210" s="323"/>
      <c r="AI210" s="323" t="s">
        <v>209</v>
      </c>
      <c r="AJ210" s="323">
        <f>VLOOKUP(E213,Pris.isolering.tag[],2,0)*F213*C213</f>
        <v>0</v>
      </c>
      <c r="AK210" s="323">
        <f>VLOOKUP(J213,Pris.isolering.tag[],2,0)*K213*C213</f>
        <v>0</v>
      </c>
      <c r="AL210" s="323"/>
      <c r="AM210" s="323"/>
      <c r="AN210" s="323">
        <f>SUM(AN212:AN216)</f>
        <v>0</v>
      </c>
      <c r="AO210" s="323">
        <f>SUM(AO212:AO216)</f>
        <v>0</v>
      </c>
      <c r="AP210" s="323"/>
      <c r="AQ210" s="323"/>
      <c r="AR210" s="323">
        <f>SUM(AR212:AR215)</f>
        <v>0</v>
      </c>
      <c r="AS210" s="323">
        <f>SUM(AS212:AS215)</f>
        <v>0</v>
      </c>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c r="BN210" s="323"/>
      <c r="BO210" s="323"/>
      <c r="BP210" s="323"/>
      <c r="BQ210" s="323"/>
      <c r="BR210" s="323"/>
      <c r="BS210" s="323"/>
      <c r="BT210" s="323"/>
      <c r="BU210" s="323"/>
      <c r="BV210" s="323"/>
      <c r="BW210" s="323"/>
      <c r="BX210" s="323"/>
      <c r="BY210" s="323"/>
      <c r="BZ210" s="323"/>
      <c r="CA210" s="323"/>
      <c r="CB210" s="323"/>
      <c r="CC210" s="323"/>
      <c r="CD210" s="323"/>
      <c r="CE210" s="323"/>
      <c r="CF210" s="323"/>
      <c r="CG210" s="323"/>
      <c r="CH210" s="323"/>
      <c r="CI210" s="323"/>
      <c r="CJ210" s="323"/>
      <c r="CK210" s="323"/>
      <c r="CL210" s="323"/>
      <c r="CM210" s="323"/>
      <c r="CN210" s="323"/>
      <c r="CO210" s="323"/>
      <c r="CP210" s="431"/>
      <c r="CQ210" s="433"/>
      <c r="CR210" s="323"/>
      <c r="CS210" s="323"/>
      <c r="CT210" s="323"/>
      <c r="CU210" s="323"/>
      <c r="CV210" s="323"/>
      <c r="CW210" s="323"/>
      <c r="CX210" s="323"/>
      <c r="CY210" s="323"/>
      <c r="CZ210" s="323"/>
      <c r="EK210" s="1070"/>
      <c r="EL210" s="1070"/>
      <c r="EM210" s="1070"/>
      <c r="EN210" s="1070"/>
      <c r="EO210" s="1070"/>
      <c r="EP210" s="1070"/>
      <c r="EQ210" s="1070"/>
    </row>
    <row r="211" spans="2:222" s="198" customFormat="1" ht="26" customHeight="1" outlineLevel="1" x14ac:dyDescent="0.35">
      <c r="B211" s="199"/>
      <c r="C211" s="200" t="s">
        <v>93</v>
      </c>
      <c r="D211" s="915" t="s">
        <v>811</v>
      </c>
      <c r="E211" s="915"/>
      <c r="F211" s="347" t="s">
        <v>94</v>
      </c>
      <c r="G211" s="348" t="s">
        <v>95</v>
      </c>
      <c r="H211" s="349" t="s">
        <v>96</v>
      </c>
      <c r="I211" s="915" t="s">
        <v>811</v>
      </c>
      <c r="J211" s="915"/>
      <c r="K211" s="510" t="s">
        <v>94</v>
      </c>
      <c r="L211" s="511" t="s">
        <v>95</v>
      </c>
      <c r="M211" s="512" t="s">
        <v>96</v>
      </c>
      <c r="N211" s="201" t="s">
        <v>97</v>
      </c>
      <c r="O211" s="201" t="s">
        <v>97</v>
      </c>
      <c r="P211" s="201" t="s">
        <v>97</v>
      </c>
      <c r="Q211" s="358" t="s">
        <v>97</v>
      </c>
      <c r="R211" s="202"/>
      <c r="S211" s="203"/>
      <c r="T211" s="204"/>
      <c r="U211" s="204"/>
      <c r="V211" s="325"/>
      <c r="W211" s="323">
        <f>SUM(W212:W215)</f>
        <v>0</v>
      </c>
      <c r="X211" s="323">
        <f>SUM(X212:X215)</f>
        <v>0</v>
      </c>
      <c r="Y211" s="323"/>
      <c r="Z211" s="323"/>
      <c r="AA211" s="323"/>
      <c r="AB211" s="323" t="s">
        <v>111</v>
      </c>
      <c r="AC211" s="323" t="s">
        <v>98</v>
      </c>
      <c r="AD211" s="323" t="s">
        <v>99</v>
      </c>
      <c r="AE211" s="323" t="s">
        <v>100</v>
      </c>
      <c r="AF211" s="323"/>
      <c r="AG211" s="323"/>
      <c r="AH211" s="323"/>
      <c r="AI211" s="323" t="s">
        <v>36</v>
      </c>
      <c r="AJ211" s="323">
        <f>VLOOKUP(E214,Pris.Terrændæk.konstruktion[],2,0)*F214*C214</f>
        <v>0</v>
      </c>
      <c r="AK211" s="323">
        <f>VLOOKUP(J214,Pris.Terrændæk.konstruktion[],2,0)*K214*C214</f>
        <v>0</v>
      </c>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c r="BN211" s="323"/>
      <c r="BO211" s="323"/>
      <c r="BP211" s="323"/>
      <c r="BQ211" s="323"/>
      <c r="BR211" s="323"/>
      <c r="BS211" s="323"/>
      <c r="BT211" s="323"/>
      <c r="BU211" s="323"/>
      <c r="BV211" s="323"/>
      <c r="BW211" s="323"/>
      <c r="BX211" s="323"/>
      <c r="BY211" s="323"/>
      <c r="BZ211" s="323"/>
      <c r="CA211" s="323"/>
      <c r="CB211" s="323"/>
      <c r="CC211" s="323"/>
      <c r="CD211" s="323"/>
      <c r="CE211" s="323"/>
      <c r="CF211" s="323"/>
      <c r="CG211" s="323"/>
      <c r="CH211" s="323"/>
      <c r="CI211" s="323"/>
      <c r="CJ211" s="323"/>
      <c r="CK211" s="323"/>
      <c r="CL211" s="323"/>
      <c r="CM211" s="323"/>
      <c r="CN211" s="323"/>
      <c r="CO211" s="323"/>
      <c r="CP211" s="435"/>
      <c r="CQ211" s="433"/>
      <c r="CR211" s="323"/>
      <c r="CS211" s="323"/>
      <c r="CT211" s="323"/>
      <c r="CU211" s="323"/>
      <c r="CV211" s="323"/>
      <c r="CW211" s="323"/>
      <c r="CX211" s="323"/>
      <c r="CY211" s="323"/>
      <c r="CZ211" s="323"/>
      <c r="DA211" s="325"/>
      <c r="DB211" s="325"/>
      <c r="DC211" s="325"/>
      <c r="DD211" s="325"/>
      <c r="DE211" s="325"/>
      <c r="DF211" s="325"/>
      <c r="DG211" s="325"/>
      <c r="DH211" s="325"/>
      <c r="DI211" s="325"/>
      <c r="DJ211" s="325"/>
      <c r="DK211" s="325"/>
      <c r="DL211" s="325"/>
      <c r="DM211" s="325"/>
      <c r="DN211" s="325"/>
      <c r="DO211" s="325"/>
      <c r="DP211" s="325"/>
      <c r="DQ211" s="325"/>
      <c r="DR211" s="325"/>
      <c r="DS211" s="325"/>
      <c r="DT211" s="325"/>
      <c r="DU211" s="325"/>
      <c r="DV211" s="325"/>
      <c r="DW211" s="325"/>
      <c r="DX211" s="325"/>
      <c r="DY211" s="325"/>
      <c r="DZ211" s="325"/>
      <c r="EA211" s="325"/>
      <c r="EB211" s="325"/>
      <c r="EC211" s="325"/>
      <c r="ED211" s="325"/>
      <c r="EE211" s="325"/>
      <c r="EF211" s="325"/>
      <c r="EG211" s="325"/>
      <c r="EH211" s="325"/>
      <c r="EI211" s="325"/>
      <c r="EJ211" s="325"/>
      <c r="EK211" s="1072"/>
      <c r="EL211" s="1072"/>
      <c r="EM211" s="1072"/>
      <c r="EN211" s="1072"/>
      <c r="EO211" s="1072"/>
      <c r="EP211" s="1072"/>
      <c r="EQ211" s="1072"/>
      <c r="ER211" s="325"/>
      <c r="ES211" s="325"/>
      <c r="ET211" s="325"/>
      <c r="EU211" s="325"/>
      <c r="EV211" s="325"/>
      <c r="EW211" s="325"/>
      <c r="EX211" s="325"/>
      <c r="EY211" s="325"/>
      <c r="EZ211" s="325"/>
      <c r="FA211" s="325"/>
      <c r="FB211" s="325"/>
      <c r="FC211" s="325"/>
      <c r="FD211" s="325"/>
      <c r="FE211" s="325"/>
      <c r="FF211" s="325"/>
      <c r="FG211" s="325"/>
      <c r="FH211" s="325"/>
      <c r="FI211" s="325"/>
      <c r="FJ211" s="325"/>
      <c r="FK211" s="325"/>
      <c r="FL211" s="325"/>
      <c r="FM211" s="325"/>
      <c r="FN211" s="325"/>
      <c r="FO211" s="325"/>
      <c r="FP211" s="325"/>
      <c r="FQ211" s="325"/>
      <c r="FR211" s="325"/>
      <c r="FS211" s="325"/>
      <c r="FT211" s="325"/>
      <c r="FU211" s="325"/>
      <c r="FV211" s="325"/>
      <c r="FW211" s="325"/>
      <c r="FX211" s="325"/>
      <c r="FY211" s="325"/>
      <c r="FZ211" s="325"/>
      <c r="GA211" s="325"/>
      <c r="GB211" s="325"/>
      <c r="GC211" s="325"/>
      <c r="GD211" s="325"/>
      <c r="GE211" s="325"/>
      <c r="GF211" s="325"/>
      <c r="GG211" s="325"/>
      <c r="GH211" s="325"/>
      <c r="GI211" s="325"/>
      <c r="GJ211" s="325"/>
      <c r="GK211" s="325"/>
      <c r="GL211" s="325"/>
      <c r="GM211" s="325"/>
      <c r="GN211" s="325"/>
      <c r="GO211" s="325"/>
      <c r="GP211" s="325"/>
      <c r="GQ211" s="325"/>
      <c r="GR211" s="325"/>
      <c r="GS211" s="325"/>
      <c r="GT211" s="325"/>
      <c r="GU211" s="325"/>
      <c r="GV211" s="325"/>
      <c r="GW211" s="325"/>
      <c r="GX211" s="325"/>
      <c r="GY211" s="325"/>
      <c r="GZ211" s="325"/>
      <c r="HA211" s="325"/>
      <c r="HB211" s="325"/>
      <c r="HC211" s="325"/>
      <c r="HD211" s="325"/>
      <c r="HE211" s="325"/>
      <c r="HF211" s="325"/>
      <c r="HG211" s="325"/>
      <c r="HH211" s="325"/>
      <c r="HI211" s="325"/>
      <c r="HJ211" s="325"/>
      <c r="HK211" s="325"/>
      <c r="HL211" s="325"/>
      <c r="HM211" s="325"/>
      <c r="HN211" s="325"/>
    </row>
    <row r="212" spans="2:222" ht="40.4" customHeight="1" outlineLevel="1" thickBot="1" x14ac:dyDescent="0.4">
      <c r="B212" s="363" t="str">
        <f>'LCA data'!$B$149</f>
        <v>Gulvoverflade</v>
      </c>
      <c r="C212" s="466">
        <f>$C$210*$C$43</f>
        <v>0</v>
      </c>
      <c r="D212" s="15" t="s">
        <v>103</v>
      </c>
      <c r="E212" s="342" t="str">
        <f>IF($D$211=$D$82,D212,VLOOKUP(B212,Auto_Terrændæk[],VLOOKUP($D$211,Type_Tung_Middel_Let[],2,0),0))</f>
        <v>Angiv ikke</v>
      </c>
      <c r="F212" s="356">
        <f>(VLOOKUP(E212,Pris.gulv.belægning[],4,0))/1000</f>
        <v>0</v>
      </c>
      <c r="G212" s="350"/>
      <c r="H212" s="351" t="str">
        <f>IFERROR(IF(VLOOKUP(B212&amp;"_"&amp;E212,'LCA data'!$B$7:$X$200,2,FALSE)&lt;$Y$24,1,0)+IF(VLOOKUP(B212&amp;"_"&amp;E212,'LCA data'!$B$7:$X$200,2,FALSE)*2&lt;$Y$24,1,0),"")</f>
        <v/>
      </c>
      <c r="I212" s="15" t="s">
        <v>103</v>
      </c>
      <c r="J212" s="342" t="str">
        <f>IF($I$211=$D$82,I212,VLOOKUP(B212,Auto_Terrændæk[],VLOOKUP($I$211,Type_Tung_Middel_Let[],2,0),0))</f>
        <v>Angiv ikke</v>
      </c>
      <c r="K212" s="513">
        <f>(VLOOKUP(J212,Pris.gulv.belægning[],4,0))/1000</f>
        <v>0</v>
      </c>
      <c r="L212" s="514"/>
      <c r="M212" s="515" t="str">
        <f>IFERROR(IF(VLOOKUP(B212&amp;"_"&amp;J212,'LCA data'!$B$7:$X$200,2,FALSE)&lt;$Y$24,1,0)+IF(VLOOKUP(B212&amp;"_"&amp;J212,'LCA data'!$B$7:$X$200,2,FALSE)*2&lt;$Y$24,1,0),"")</f>
        <v/>
      </c>
      <c r="N212" s="364">
        <f>W212/1000</f>
        <v>0</v>
      </c>
      <c r="O212" s="880">
        <f>SUM(N212:N216)</f>
        <v>0</v>
      </c>
      <c r="P212" s="365">
        <f>X212/1000</f>
        <v>0</v>
      </c>
      <c r="Q212" s="888">
        <f>SUM(P212:P216)</f>
        <v>0</v>
      </c>
      <c r="R212" s="192"/>
      <c r="S212" s="196"/>
      <c r="V212" s="251"/>
      <c r="W212" s="323">
        <f>IF(E212="Angiv ikke",0,((1+H212)*VLOOKUP(B212&amp;"_"&amp;E212,'LCA data'!$B$7:$X$360,19,FALSE)*(F212*10^3)*C212))</f>
        <v>0</v>
      </c>
      <c r="X212" s="323">
        <f>IF(J212="Angiv ikke",0,((1+M212)*VLOOKUP(B212&amp;"_"&amp;J212,'LCA data'!$B$7:$X$360,19,FALSE)*(K212*10^3)*C212))</f>
        <v>0</v>
      </c>
      <c r="Y212" s="323"/>
      <c r="Z212" s="323"/>
      <c r="AA212" s="323" t="s">
        <v>4</v>
      </c>
      <c r="AB212" s="323">
        <f>AF212/$J$21/$Y$24*1000</f>
        <v>0</v>
      </c>
      <c r="AC212" s="323">
        <f>Varmetab!H78</f>
        <v>0</v>
      </c>
      <c r="AD212" s="323">
        <f>AB212+AC212</f>
        <v>0</v>
      </c>
      <c r="AE212" s="323" t="s">
        <v>4</v>
      </c>
      <c r="AF212" s="323">
        <f>W211/1000</f>
        <v>0</v>
      </c>
      <c r="AG212" s="323"/>
      <c r="AH212" s="323"/>
      <c r="AI212" s="323" t="s">
        <v>800</v>
      </c>
      <c r="AJ212" s="323">
        <f>VLOOKUP(E215,Pris.kapillarbryddende.lag[],2,0)*F215*C215</f>
        <v>0</v>
      </c>
      <c r="AK212" s="323">
        <f>VLOOKUP(J215,Pris.kapillarbryddende.lag[],2,0)*K215*C215</f>
        <v>0</v>
      </c>
      <c r="AL212" s="323"/>
      <c r="AM212" s="323"/>
      <c r="AN212" s="323">
        <f>IF(E212="Angiv ikke",0,((1+H212)*VLOOKUP(B212&amp;"_"&amp;E212,'LCA data'!$B$7:$X$360,20,FALSE)*(F212*10^3)*C212))</f>
        <v>0</v>
      </c>
      <c r="AO212" s="323">
        <f>IF(J212="Angiv ikke",0,((1+M212)*VLOOKUP(B212&amp;"_"&amp;J212,'LCA data'!$B$7:$X$360,20,FALSE)*(K212*10^3)*C212))</f>
        <v>0</v>
      </c>
      <c r="AP212" s="323"/>
      <c r="AQ212" s="323"/>
      <c r="AR212" s="323">
        <f>IF(E212="Angiv ikke",0,((1+H212)*VLOOKUP(B212&amp;"_"&amp;E212,'LCA data'!$B$7:$AA$360,26,FALSE)*(F212*10^3)*C212))</f>
        <v>0</v>
      </c>
      <c r="AS212" s="323">
        <f>IF(J212="Angiv ikke",0,((1+M212)*VLOOKUP(B212&amp;"_"&amp;J212,'LCA data'!$B$7:$AA$360,26,FALSE)*(K212*10^3)*C212))</f>
        <v>0</v>
      </c>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c r="BN212" s="323"/>
      <c r="BO212" s="323"/>
      <c r="BP212" s="323"/>
      <c r="BQ212" s="323"/>
      <c r="BR212" s="323"/>
      <c r="BS212" s="323"/>
      <c r="BT212" s="323"/>
      <c r="BU212" s="323"/>
      <c r="BV212" s="323"/>
      <c r="BW212" s="323"/>
      <c r="BX212" s="323"/>
      <c r="BY212" s="323"/>
      <c r="BZ212" s="323"/>
      <c r="CA212" s="323"/>
      <c r="CB212" s="323"/>
      <c r="CC212" s="323"/>
      <c r="CD212" s="323"/>
      <c r="CE212" s="323"/>
      <c r="CF212" s="323"/>
      <c r="CG212" s="323"/>
      <c r="CH212" s="323"/>
      <c r="CI212" s="323"/>
      <c r="CJ212" s="323"/>
      <c r="CK212" s="323"/>
      <c r="CL212" s="323"/>
      <c r="CM212" s="323"/>
      <c r="CN212" s="323"/>
      <c r="CO212" s="323"/>
      <c r="CP212" s="442"/>
      <c r="CQ212" s="438"/>
      <c r="CR212" s="323"/>
      <c r="CS212" s="323"/>
      <c r="CT212" s="323"/>
      <c r="CU212" s="323"/>
      <c r="CV212" s="323"/>
      <c r="CW212" s="323"/>
      <c r="CX212" s="323"/>
      <c r="CY212" s="323"/>
      <c r="CZ212" s="323"/>
      <c r="EK212" s="1070"/>
      <c r="EL212" s="1070"/>
      <c r="EM212" s="1070"/>
      <c r="EN212" s="1070"/>
      <c r="EO212" s="1070"/>
      <c r="EP212" s="1070"/>
      <c r="EQ212" s="1070"/>
    </row>
    <row r="213" spans="2:222" ht="40.4" customHeight="1" outlineLevel="1" x14ac:dyDescent="0.35">
      <c r="B213" s="208" t="str">
        <f>'LCA data'!B$32</f>
        <v>Isolering</v>
      </c>
      <c r="C213" s="466">
        <f t="shared" ref="C213:C215" si="18">$C$210*$C$43</f>
        <v>0</v>
      </c>
      <c r="D213" s="168" t="s">
        <v>103</v>
      </c>
      <c r="E213" s="342" t="str">
        <f>IF($D$211=$D$82,D213,VLOOKUP(B213,Auto_Terrændæk[],VLOOKUP($D$211,Type_Tung_Middel_Let[],2,0),0))</f>
        <v>Angiv ikke</v>
      </c>
      <c r="F213" s="11">
        <v>0.4</v>
      </c>
      <c r="G213" s="473" t="str">
        <f>VLOOKUP(E213,Isoleringsmateriale[],2,0)</f>
        <v>?</v>
      </c>
      <c r="H213" s="351" t="str">
        <f>IFERROR(IF(VLOOKUP(B213&amp;"_"&amp;E213,'LCA data'!$B$7:$X$200,2,FALSE)&lt;$Y$24,1,0)+IF(VLOOKUP(B213&amp;"_"&amp;E213,'LCA data'!$B$7:$X$200,2,FALSE)*2&lt;$Y$24,1,0),"")</f>
        <v/>
      </c>
      <c r="I213" s="168" t="s">
        <v>103</v>
      </c>
      <c r="J213" s="342" t="str">
        <f>IF($I$211=$D$82,I213,VLOOKUP(B213,Auto_Terrændæk[],VLOOKUP($I$211,Type_Tung_Middel_Let[],2,0),0))</f>
        <v>Angiv ikke</v>
      </c>
      <c r="K213" s="11">
        <v>0.4</v>
      </c>
      <c r="L213" s="473" t="str">
        <f>VLOOKUP(J213,Isoleringsmateriale[],2,0)</f>
        <v>?</v>
      </c>
      <c r="M213" s="515" t="str">
        <f>IFERROR(IF(VLOOKUP(B213&amp;"_"&amp;J213,'LCA data'!$B$7:$X$200,2,FALSE)&lt;$Y$24,1,0)+IF(VLOOKUP(B213&amp;"_"&amp;J213,'LCA data'!$B$7:$X$200,2,FALSE)*2&lt;$Y$24,1,0),"")</f>
        <v/>
      </c>
      <c r="N213" s="206">
        <f>W213/1000</f>
        <v>0</v>
      </c>
      <c r="O213" s="878"/>
      <c r="P213" s="207">
        <f>X213/1000</f>
        <v>0</v>
      </c>
      <c r="Q213" s="889"/>
      <c r="R213" s="192"/>
      <c r="S213" s="196"/>
      <c r="V213" s="251"/>
      <c r="W213" s="323">
        <f>IF(E213="Angiv ikke",0,((1+H213)*VLOOKUP(B213&amp;"_"&amp;E213,'LCA data'!$B$7:$X$360,19,FALSE)*(F213*10^3)*C213))</f>
        <v>0</v>
      </c>
      <c r="X213" s="323">
        <f>IF(J213="Angiv ikke",0,((1+M213)*VLOOKUP(B213&amp;"_"&amp;J213,'LCA data'!$B$7:$X$360,19,FALSE)*(K213*10^3)*C213))</f>
        <v>0</v>
      </c>
      <c r="Y213" s="323">
        <f>IF(G213="_",0,AC212*$J$21*$Y$24)</f>
        <v>0</v>
      </c>
      <c r="Z213" s="323">
        <f>IF(L213="_",0,AC213*$J$21*$Y$24)</f>
        <v>0</v>
      </c>
      <c r="AA213" s="323" t="s">
        <v>5</v>
      </c>
      <c r="AB213" s="323">
        <f>AG213/$J$21/$Y$24*1000</f>
        <v>0</v>
      </c>
      <c r="AC213" s="323">
        <f>Varmetab!I78</f>
        <v>0</v>
      </c>
      <c r="AD213" s="323">
        <f>AB213+AC213</f>
        <v>0</v>
      </c>
      <c r="AE213" s="323" t="s">
        <v>5</v>
      </c>
      <c r="AF213" s="323"/>
      <c r="AG213" s="323">
        <f>X211/1000</f>
        <v>0</v>
      </c>
      <c r="AH213" s="323"/>
      <c r="AI213" s="323" t="s">
        <v>743</v>
      </c>
      <c r="AJ213" s="323">
        <f>SUM(AJ209:AJ212)</f>
        <v>0</v>
      </c>
      <c r="AK213" s="323">
        <f>SUM(AK209:AK212)</f>
        <v>0</v>
      </c>
      <c r="AL213" s="323"/>
      <c r="AM213" s="323"/>
      <c r="AN213" s="323">
        <f>IF(E213="Angiv ikke",0,((1+H213)*VLOOKUP(B213&amp;"_"&amp;E213,'LCA data'!$B$7:$X$360,20,FALSE)*(F213*10^3)*C213))</f>
        <v>0</v>
      </c>
      <c r="AO213" s="323">
        <f>IF(J213="Angiv ikke",0,((1+M213)*VLOOKUP(B213&amp;"_"&amp;J213,'LCA data'!$B$7:$X$360,20,FALSE)*(K213*10^3)*C213))</f>
        <v>0</v>
      </c>
      <c r="AP213" s="323"/>
      <c r="AQ213" s="323"/>
      <c r="AR213" s="323">
        <f>IF(E213="Angiv ikke",0,((1+H213)*VLOOKUP(B213&amp;"_"&amp;E213,'LCA data'!$B$7:$AA$360,26,FALSE)*(F213*10^3)*C213))</f>
        <v>0</v>
      </c>
      <c r="AS213" s="323">
        <f>IF(J213="Angiv ikke",0,((1+M213)*VLOOKUP(B213&amp;"_"&amp;J213,'LCA data'!$B$7:$AA$360,26,FALSE)*(K213*10^3)*C213))</f>
        <v>0</v>
      </c>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c r="BN213" s="323"/>
      <c r="BO213" s="323"/>
      <c r="BP213" s="323"/>
      <c r="BQ213" s="323"/>
      <c r="BR213" s="323"/>
      <c r="BS213" s="323"/>
      <c r="BT213" s="323"/>
      <c r="BU213" s="323"/>
      <c r="BV213" s="323"/>
      <c r="BW213" s="323"/>
      <c r="BX213" s="323"/>
      <c r="BY213" s="323"/>
      <c r="BZ213" s="323"/>
      <c r="CA213" s="323"/>
      <c r="CB213" s="323"/>
      <c r="CC213" s="323"/>
      <c r="CD213" s="323"/>
      <c r="CE213" s="323"/>
      <c r="CF213" s="323"/>
      <c r="CG213" s="323"/>
      <c r="CH213" s="323"/>
      <c r="CI213" s="323"/>
      <c r="CJ213" s="323"/>
      <c r="CK213" s="323"/>
      <c r="CL213" s="323"/>
      <c r="CM213" s="323"/>
      <c r="CN213" s="323"/>
      <c r="CO213" s="323"/>
      <c r="CP213" s="439"/>
      <c r="CQ213" s="440"/>
      <c r="CR213" s="323"/>
      <c r="CS213" s="323"/>
      <c r="CT213" s="323"/>
      <c r="CU213" s="323"/>
      <c r="CV213" s="323"/>
      <c r="CW213" s="323"/>
      <c r="CX213" s="323"/>
      <c r="CY213" s="323"/>
      <c r="CZ213" s="323"/>
      <c r="EK213" s="1070"/>
      <c r="EL213" s="1070"/>
      <c r="EM213" s="1070"/>
      <c r="EN213" s="1070"/>
      <c r="EO213" s="1070"/>
      <c r="EP213" s="1070"/>
      <c r="EQ213" s="1070"/>
    </row>
    <row r="214" spans="2:222" ht="40.4" customHeight="1" outlineLevel="1" thickBot="1" x14ac:dyDescent="0.4">
      <c r="B214" s="205" t="str">
        <f>'LCA data'!$B$119</f>
        <v>Terrændæk</v>
      </c>
      <c r="C214" s="466">
        <f t="shared" si="18"/>
        <v>0</v>
      </c>
      <c r="D214" s="169" t="s">
        <v>103</v>
      </c>
      <c r="E214" s="342" t="str">
        <f>IF($D$211=$D$82,D214,VLOOKUP(B214,Auto_Terrændæk[],VLOOKUP($D$211,Type_Tung_Middel_Let[],2,0),0))</f>
        <v>Angiv ikke</v>
      </c>
      <c r="F214" s="172">
        <f>VLOOKUP(E214,Pris.Terrændæk.konstruktion[],4,0)/1000</f>
        <v>0</v>
      </c>
      <c r="G214" s="350"/>
      <c r="H214" s="351" t="str">
        <f>IFERROR(IF(VLOOKUP(B214&amp;"_"&amp;E214,'LCA data'!$B$7:$X$200,2,FALSE)&lt;$Y$24,1,0)+IF(VLOOKUP(B214&amp;"_"&amp;E214,'LCA data'!$B$7:$X$200,2,FALSE)*2&lt;$Y$24,1,0),"")</f>
        <v/>
      </c>
      <c r="I214" s="169" t="s">
        <v>103</v>
      </c>
      <c r="J214" s="342" t="str">
        <f>IF($I$211=$D$82,I214,VLOOKUP(B214,Auto_Terrændæk[],VLOOKUP($I$211,Type_Tung_Middel_Let[],2,0),0))</f>
        <v>Angiv ikke</v>
      </c>
      <c r="K214" s="172">
        <f>VLOOKUP(J214,Pris.Terrændæk.konstruktion[],4,0)/1000</f>
        <v>0</v>
      </c>
      <c r="L214" s="514"/>
      <c r="M214" s="515" t="str">
        <f>IFERROR(IF(VLOOKUP(B214&amp;"_"&amp;J214,'LCA data'!$B$7:$X$200,2,FALSE)&lt;$Y$24,1,0)+IF(VLOOKUP(B214&amp;"_"&amp;J214,'LCA data'!$B$7:$X$200,2,FALSE)*2&lt;$Y$24,1,0),"")</f>
        <v/>
      </c>
      <c r="N214" s="206">
        <f>W214/1000</f>
        <v>0</v>
      </c>
      <c r="O214" s="878"/>
      <c r="P214" s="207">
        <f>X214/1000</f>
        <v>0</v>
      </c>
      <c r="Q214" s="889"/>
      <c r="R214" s="192"/>
      <c r="S214" s="196"/>
      <c r="V214" s="251"/>
      <c r="W214" s="323">
        <f>IF(E214="Angiv ikke",0,((1+H214)*VLOOKUP(B214&amp;"_"&amp;E214,'LCA data'!$B$7:$X$360,19,FALSE)*(F214*10^3)*C214))</f>
        <v>0</v>
      </c>
      <c r="X214" s="323">
        <f>IF(J214="Angiv ikke",0,((1+M214)*VLOOKUP(B214&amp;"_"&amp;J214,'LCA data'!$B$7:$X$360,19,FALSE)*(K214*10^3)*C214))</f>
        <v>0</v>
      </c>
      <c r="Y214" s="323"/>
      <c r="Z214" s="323"/>
      <c r="AA214" s="323"/>
      <c r="AB214" s="323"/>
      <c r="AC214" s="323"/>
      <c r="AD214" s="323"/>
      <c r="AE214" s="323"/>
      <c r="AF214" s="323"/>
      <c r="AG214" s="323"/>
      <c r="AH214" s="323"/>
      <c r="AI214" s="323"/>
      <c r="AJ214" s="323"/>
      <c r="AK214" s="323"/>
      <c r="AL214" s="323"/>
      <c r="AM214" s="323"/>
      <c r="AN214" s="323">
        <f>IF(E214="Angiv ikke",0,((1+H214)*VLOOKUP(B214&amp;"_"&amp;E214,'LCA data'!$B$7:$X$360,20,FALSE)*(F214*10^3)*C214))</f>
        <v>0</v>
      </c>
      <c r="AO214" s="323">
        <f>IF(J214="Angiv ikke",0,((1+M214)*VLOOKUP(B214&amp;"_"&amp;J214,'LCA data'!$B$7:$X$360,20,FALSE)*(K214*10^3)*C214))</f>
        <v>0</v>
      </c>
      <c r="AP214" s="323"/>
      <c r="AQ214" s="323"/>
      <c r="AR214" s="323">
        <f>IF(E214="Angiv ikke",0,((1+H214)*VLOOKUP(B214&amp;"_"&amp;E214,'LCA data'!$B$7:$AA$360,26,FALSE)*(F214*10^3)*C214))</f>
        <v>0</v>
      </c>
      <c r="AS214" s="323">
        <f>IF(J214="Angiv ikke",0,((1+M214)*VLOOKUP(B214&amp;"_"&amp;J214,'LCA data'!$B$7:$AA$360,26,FALSE)*(K214*10^3)*C214))</f>
        <v>0</v>
      </c>
      <c r="AT214" s="323"/>
      <c r="AU214" s="323"/>
      <c r="AV214" s="323"/>
      <c r="AW214" s="323"/>
      <c r="AX214" s="323"/>
      <c r="AY214" s="323"/>
      <c r="AZ214" s="323"/>
      <c r="BA214" s="323"/>
      <c r="BB214" s="323"/>
      <c r="BC214" s="323"/>
      <c r="BD214" s="323"/>
      <c r="BE214" s="323"/>
      <c r="BF214" s="323"/>
      <c r="BG214" s="323"/>
      <c r="BH214" s="323"/>
      <c r="BI214" s="323"/>
      <c r="BJ214" s="323"/>
      <c r="BK214" s="323"/>
      <c r="BL214" s="323"/>
      <c r="BM214" s="323"/>
      <c r="BN214" s="323"/>
      <c r="BO214" s="323"/>
      <c r="BP214" s="323"/>
      <c r="BQ214" s="323"/>
      <c r="BR214" s="323"/>
      <c r="BS214" s="323"/>
      <c r="BT214" s="323"/>
      <c r="BU214" s="323"/>
      <c r="BV214" s="323"/>
      <c r="BW214" s="323"/>
      <c r="BX214" s="323"/>
      <c r="BY214" s="323"/>
      <c r="BZ214" s="323"/>
      <c r="CA214" s="323"/>
      <c r="CB214" s="323"/>
      <c r="CC214" s="323"/>
      <c r="CD214" s="323"/>
      <c r="CE214" s="323"/>
      <c r="CF214" s="323"/>
      <c r="CG214" s="323"/>
      <c r="CH214" s="323"/>
      <c r="CI214" s="323"/>
      <c r="CJ214" s="323"/>
      <c r="CK214" s="323"/>
      <c r="CL214" s="323"/>
      <c r="CM214" s="323"/>
      <c r="CN214" s="323"/>
      <c r="CO214" s="323"/>
      <c r="CP214" s="428"/>
      <c r="CQ214" s="440"/>
      <c r="CR214" s="323"/>
      <c r="CS214" s="323"/>
      <c r="CT214" s="323"/>
      <c r="CU214" s="323"/>
      <c r="CV214" s="323"/>
      <c r="CW214" s="323"/>
      <c r="CX214" s="323"/>
      <c r="CY214" s="323"/>
      <c r="CZ214" s="323"/>
      <c r="EK214" s="1070"/>
      <c r="EL214" s="1070"/>
      <c r="EM214" s="1070"/>
      <c r="EN214" s="1070"/>
      <c r="EO214" s="1070"/>
      <c r="EP214" s="1070"/>
      <c r="EQ214" s="1070"/>
    </row>
    <row r="215" spans="2:222" ht="40.4" customHeight="1" outlineLevel="1" thickBot="1" x14ac:dyDescent="0.4">
      <c r="B215" s="209" t="str">
        <f>'LCA data'!$B$129</f>
        <v>Kapillarbrydende lag</v>
      </c>
      <c r="C215" s="467">
        <f t="shared" si="18"/>
        <v>0</v>
      </c>
      <c r="D215" s="171" t="s">
        <v>103</v>
      </c>
      <c r="E215" s="382" t="str">
        <f>IF($D$211=$D$82,D215,VLOOKUP(B215,Auto_Terrændæk[],VLOOKUP($D$211,Type_Tung_Middel_Let[],2,0),0))</f>
        <v>Angiv ikke</v>
      </c>
      <c r="F215" s="461">
        <f>(VLOOKUP(E215,Pris.kapillarbryddende.lag[],4,0))/1000</f>
        <v>0</v>
      </c>
      <c r="G215" s="354"/>
      <c r="H215" s="355" t="str">
        <f>IFERROR(IF(VLOOKUP(B215&amp;"_"&amp;E215,'LCA data'!$B$7:$X$200,2,FALSE)&lt;$Y$24,1,0)+IF(VLOOKUP(B215&amp;"_"&amp;E215,'LCA data'!$B$7:$X$200,2,FALSE)*2&lt;$Y$24,1,0),"")</f>
        <v/>
      </c>
      <c r="I215" s="171" t="s">
        <v>103</v>
      </c>
      <c r="J215" s="382" t="str">
        <f>IF($I$211=$D$82,I215,VLOOKUP(B215,Auto_Terrændæk[],VLOOKUP($I$211,Type_Tung_Middel_Let[],2,0),0))</f>
        <v>Angiv ikke</v>
      </c>
      <c r="K215" s="461">
        <f>(VLOOKUP(J215,Pris.kapillarbryddende.lag[],4,0))/1000</f>
        <v>0</v>
      </c>
      <c r="L215" s="519"/>
      <c r="M215" s="520" t="str">
        <f>IFERROR(IF(VLOOKUP(B215&amp;"_"&amp;J215,'LCA data'!$B$7:$X$200,2,FALSE)&lt;$Y$24,1,0)+IF(VLOOKUP(B215&amp;"_"&amp;J215,'LCA data'!$B$7:$X$200,2,FALSE)*2&lt;$Y$24,1,0),"")</f>
        <v/>
      </c>
      <c r="N215" s="210">
        <f>W215/1000</f>
        <v>0</v>
      </c>
      <c r="O215" s="879"/>
      <c r="P215" s="211">
        <f>X215/1000</f>
        <v>0</v>
      </c>
      <c r="Q215" s="890"/>
      <c r="R215" s="212"/>
      <c r="S215" s="213"/>
      <c r="V215" s="251"/>
      <c r="W215" s="323">
        <f>IF(E215="Angiv ikke",0,((1+H215)*VLOOKUP(B215&amp;"_"&amp;E215,'LCA data'!$B$7:$X$360,19,FALSE)*(F215*10^3)*C215))</f>
        <v>0</v>
      </c>
      <c r="X215" s="323">
        <f>IF(J215="Angiv ikke",0,((1+M215)*VLOOKUP(B215&amp;"_"&amp;J215,'LCA data'!$B$7:$X$360,19,FALSE)*(K215*10^3)*C215))</f>
        <v>0</v>
      </c>
      <c r="Y215" s="323"/>
      <c r="Z215" s="323"/>
      <c r="AA215" s="323"/>
      <c r="AB215" s="323"/>
      <c r="AC215" s="323"/>
      <c r="AD215" s="323"/>
      <c r="AE215" s="323"/>
      <c r="AF215" s="323"/>
      <c r="AG215" s="323"/>
      <c r="AH215" s="323"/>
      <c r="AI215" s="323"/>
      <c r="AJ215" s="323"/>
      <c r="AK215" s="323"/>
      <c r="AL215" s="323"/>
      <c r="AM215" s="323"/>
      <c r="AN215" s="323">
        <f>IF(E215="Angiv ikke",0,((1+H215)*VLOOKUP(B215&amp;"_"&amp;E215,'LCA data'!$B$7:$X$360,20,FALSE)*(F215*10^3)*C215))</f>
        <v>0</v>
      </c>
      <c r="AO215" s="323">
        <f>IF(J215="Angiv ikke",0,((1+M215)*VLOOKUP(B215&amp;"_"&amp;J215,'LCA data'!$B$7:$X$360,20,FALSE)*(K215*10^3)*C215))</f>
        <v>0</v>
      </c>
      <c r="AP215" s="323"/>
      <c r="AQ215" s="323"/>
      <c r="AR215" s="323">
        <f>IF(E215="Angiv ikke",0,((1+H215)*VLOOKUP(B215&amp;"_"&amp;E215,'LCA data'!$B$7:$AA$360,26,FALSE)*(F215*10^3)*C215))</f>
        <v>0</v>
      </c>
      <c r="AS215" s="323">
        <f>IF(J215="Angiv ikke",0,((1+M215)*VLOOKUP(B215&amp;"_"&amp;J215,'LCA data'!$B$7:$AA$360,26,FALSE)*(K215*10^3)*C215))</f>
        <v>0</v>
      </c>
      <c r="AT215" s="323"/>
      <c r="AU215" s="323"/>
      <c r="AV215" s="323"/>
      <c r="AW215" s="323"/>
      <c r="AX215" s="323"/>
      <c r="AY215" s="323"/>
      <c r="AZ215" s="323"/>
      <c r="BA215" s="323"/>
      <c r="BB215" s="323"/>
      <c r="BC215" s="323"/>
      <c r="BD215" s="323"/>
      <c r="BE215" s="323"/>
      <c r="BF215" s="323"/>
      <c r="BG215" s="323"/>
      <c r="BH215" s="323"/>
      <c r="BI215" s="323"/>
      <c r="BJ215" s="323"/>
      <c r="BK215" s="323"/>
      <c r="BL215" s="323"/>
      <c r="BM215" s="323"/>
      <c r="BN215" s="323"/>
      <c r="BO215" s="323"/>
      <c r="BP215" s="323"/>
      <c r="BQ215" s="323"/>
      <c r="BR215" s="323"/>
      <c r="BS215" s="323"/>
      <c r="BT215" s="323"/>
      <c r="BU215" s="323"/>
      <c r="BV215" s="323"/>
      <c r="BW215" s="323"/>
      <c r="BX215" s="323"/>
      <c r="BY215" s="323"/>
      <c r="BZ215" s="323"/>
      <c r="CA215" s="323"/>
      <c r="CB215" s="323"/>
      <c r="CC215" s="323"/>
      <c r="CD215" s="323"/>
      <c r="CE215" s="323"/>
      <c r="CF215" s="323"/>
      <c r="CG215" s="323"/>
      <c r="CH215" s="323"/>
      <c r="CI215" s="323"/>
      <c r="CJ215" s="323"/>
      <c r="CK215" s="323"/>
      <c r="CL215" s="323"/>
      <c r="CM215" s="323"/>
      <c r="CN215" s="323"/>
      <c r="CO215" s="323"/>
      <c r="CP215" s="1144" t="s">
        <v>77</v>
      </c>
      <c r="CQ215" s="1145"/>
      <c r="CR215" s="323"/>
      <c r="CS215" s="323"/>
      <c r="CT215" s="323"/>
      <c r="CU215" s="323"/>
      <c r="CV215" s="323"/>
      <c r="CW215" s="323"/>
      <c r="CX215" s="323"/>
      <c r="CY215" s="323"/>
      <c r="CZ215" s="323"/>
      <c r="EK215" s="1070"/>
      <c r="EL215" s="1070"/>
      <c r="EM215" s="1070"/>
      <c r="EN215" s="1070"/>
      <c r="EO215" s="1070"/>
      <c r="EP215" s="1070"/>
      <c r="EQ215" s="1070"/>
    </row>
    <row r="216" spans="2:222" ht="13.5" customHeight="1" outlineLevel="1" x14ac:dyDescent="0.35">
      <c r="B216" s="173" t="s">
        <v>118</v>
      </c>
      <c r="N216" s="218"/>
      <c r="P216" s="216"/>
      <c r="R216" s="217"/>
      <c r="V216" s="251"/>
      <c r="W216" s="323"/>
      <c r="X216" s="323"/>
      <c r="Y216" s="323"/>
      <c r="Z216" s="323"/>
      <c r="AA216" s="323"/>
      <c r="AB216" s="323"/>
      <c r="AC216" s="323"/>
      <c r="AD216" s="323"/>
      <c r="AE216" s="323"/>
      <c r="AF216" s="323"/>
      <c r="AG216" s="323"/>
      <c r="AH216" s="323"/>
      <c r="AI216" s="323" t="str">
        <f>IFERROR(VLOOKUP(B216&amp;"_"&amp;J216,'LCA data'!$B$7:$X$200,19,FALSE)*(K216*10^3)*C216,"")</f>
        <v/>
      </c>
      <c r="AJ216" s="323" t="str">
        <f>IFERROR(VLOOKUP($B216&amp;"_"&amp;J216,'LCA data'!$B$7:$X$238,2,FALSE),"")</f>
        <v/>
      </c>
      <c r="AK216" s="323" t="str">
        <f>IFERROR(IF(M216&gt;0,VLOOKUP(B216&amp;"_"&amp;J216,'LCA data'!$B$7:$X$200,19,FALSE)*(K216*10^3)*C216,""),"")</f>
        <v/>
      </c>
      <c r="AL216" s="323" t="str">
        <f>IFERROR(AJ216+VLOOKUP(B216&amp;"_"&amp;J216,'LCA data'!$B$7:$X$238,2,FALSE),"")</f>
        <v/>
      </c>
      <c r="AM216" s="323" t="str">
        <f>IFERROR(IF(M216-1&gt;0,VLOOKUP(B216&amp;"_"&amp;J216,'LCA data'!$B$7:$X$200,19,FALSE)*(K216*10^3)*C216,""),"")</f>
        <v/>
      </c>
      <c r="AN216" s="323" t="str">
        <f>IFERROR(AL216+VLOOKUP(B216&amp;"_"&amp;J216,'LCA data'!$B$7:$X$238,2,FALSE),"")</f>
        <v/>
      </c>
      <c r="AO216" s="323" t="str">
        <f>IFERROR(IF(M216-2&gt;0,VLOOKUP(B216&amp;"_"&amp;J216,'LCA data'!$B$7:$X$200,19,FALSE)*(K216*10^3)*C216,""),"")</f>
        <v/>
      </c>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c r="BM216" s="323"/>
      <c r="BN216" s="323"/>
      <c r="BO216" s="323"/>
      <c r="BP216" s="323"/>
      <c r="BQ216" s="323"/>
      <c r="BR216" s="323"/>
      <c r="BS216" s="323"/>
      <c r="BT216" s="323"/>
      <c r="BU216" s="323"/>
      <c r="BV216" s="323"/>
      <c r="BW216" s="323"/>
      <c r="BX216" s="323"/>
      <c r="BY216" s="323"/>
      <c r="BZ216" s="323"/>
      <c r="CA216" s="323"/>
      <c r="CB216" s="323"/>
      <c r="CC216" s="323"/>
      <c r="CD216" s="323"/>
      <c r="CE216" s="323"/>
      <c r="CF216" s="323"/>
      <c r="CG216" s="323"/>
      <c r="CH216" s="323"/>
      <c r="CI216" s="323"/>
      <c r="CJ216" s="323"/>
      <c r="CK216" s="323"/>
      <c r="CL216" s="323"/>
      <c r="CM216" s="323"/>
      <c r="CN216" s="323"/>
      <c r="CO216" s="323"/>
      <c r="CP216" s="431"/>
      <c r="CQ216" s="432"/>
      <c r="CR216" s="323"/>
      <c r="CS216" s="323"/>
      <c r="CT216" s="323"/>
      <c r="CU216" s="323"/>
      <c r="CV216" s="323"/>
      <c r="CW216" s="323"/>
      <c r="CX216" s="323"/>
      <c r="CY216" s="323"/>
      <c r="CZ216" s="323"/>
      <c r="EK216" s="1070"/>
      <c r="EL216" s="1070"/>
      <c r="EM216" s="1070"/>
      <c r="EN216" s="1070"/>
      <c r="EO216" s="1070"/>
      <c r="EP216" s="1070"/>
      <c r="EQ216" s="1070"/>
    </row>
    <row r="217" spans="2:222" ht="18.649999999999999" customHeight="1" x14ac:dyDescent="0.35">
      <c r="B217" s="542"/>
      <c r="C217" s="542"/>
      <c r="D217" s="542"/>
      <c r="E217" s="542"/>
      <c r="F217" s="542"/>
      <c r="G217" s="542"/>
      <c r="H217" s="542"/>
      <c r="I217" s="542"/>
      <c r="J217" s="542"/>
      <c r="K217" s="542"/>
      <c r="L217" s="542"/>
      <c r="M217" s="542"/>
      <c r="P217" s="216"/>
      <c r="R217" s="217"/>
      <c r="S217" s="217"/>
      <c r="V217" s="251"/>
      <c r="W217" s="323"/>
      <c r="X217" s="323"/>
      <c r="Y217" s="323"/>
      <c r="Z217" s="323"/>
      <c r="AA217" s="323"/>
      <c r="AB217" s="323"/>
      <c r="AC217" s="323"/>
      <c r="AD217" s="323"/>
      <c r="AE217" s="323"/>
      <c r="AF217" s="323"/>
      <c r="AG217" s="323"/>
      <c r="AH217" s="323"/>
      <c r="AI217" s="323" t="str">
        <f>IFERROR(VLOOKUP(B217&amp;"_"&amp;J217,'LCA data'!$B$7:$X$200,19,FALSE)*(K217*10^3)*C217,"")</f>
        <v/>
      </c>
      <c r="AJ217" s="323" t="str">
        <f>IFERROR(VLOOKUP($B217&amp;"_"&amp;J217,'LCA data'!$B$7:$X$238,2,FALSE),"")</f>
        <v/>
      </c>
      <c r="AK217" s="323" t="str">
        <f>IFERROR(IF(M217&gt;0,VLOOKUP(B217&amp;"_"&amp;J217,'LCA data'!$B$7:$X$200,19,FALSE)*(K217*10^3)*C217,""),"")</f>
        <v/>
      </c>
      <c r="AL217" s="323" t="str">
        <f>IFERROR(AJ217+VLOOKUP(B217&amp;"_"&amp;J217,'LCA data'!$B$7:$X$238,2,FALSE),"")</f>
        <v/>
      </c>
      <c r="AM217" s="323" t="str">
        <f>IFERROR(IF(M217-1&gt;0,VLOOKUP(B217&amp;"_"&amp;J217,'LCA data'!$B$7:$X$200,19,FALSE)*(K217*10^3)*C217,""),"")</f>
        <v/>
      </c>
      <c r="AN217" s="323" t="str">
        <f>IFERROR(AL217+VLOOKUP(B217&amp;"_"&amp;J217,'LCA data'!$B$7:$X$238,2,FALSE),"")</f>
        <v/>
      </c>
      <c r="AO217" s="323" t="str">
        <f>IFERROR(IF(M217-2&gt;0,VLOOKUP(B217&amp;"_"&amp;J217,'LCA data'!$B$7:$X$200,19,FALSE)*(K217*10^3)*C217,""),"")</f>
        <v/>
      </c>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c r="BM217" s="323"/>
      <c r="BN217" s="323"/>
      <c r="BO217" s="323"/>
      <c r="BP217" s="323"/>
      <c r="BQ217" s="323"/>
      <c r="BR217" s="323"/>
      <c r="BS217" s="323"/>
      <c r="BT217" s="323"/>
      <c r="BU217" s="323"/>
      <c r="BV217" s="323"/>
      <c r="BW217" s="323"/>
      <c r="BX217" s="323"/>
      <c r="BY217" s="323"/>
      <c r="BZ217" s="323"/>
      <c r="CA217" s="323"/>
      <c r="CB217" s="323"/>
      <c r="CC217" s="323"/>
      <c r="CD217" s="323"/>
      <c r="CE217" s="323"/>
      <c r="CF217" s="323"/>
      <c r="CG217" s="323"/>
      <c r="CH217" s="323"/>
      <c r="CI217" s="323"/>
      <c r="CJ217" s="323"/>
      <c r="CK217" s="323"/>
      <c r="CL217" s="323"/>
      <c r="CM217" s="323"/>
      <c r="CN217" s="323"/>
      <c r="CO217" s="323"/>
      <c r="CP217" s="431"/>
      <c r="CQ217" s="433"/>
      <c r="CR217" s="323"/>
      <c r="CS217" s="323"/>
      <c r="CT217" s="323"/>
      <c r="CU217" s="323"/>
      <c r="CV217" s="323"/>
      <c r="CW217" s="323"/>
      <c r="CX217" s="323"/>
      <c r="CY217" s="323"/>
      <c r="CZ217" s="323"/>
      <c r="EK217" s="1070"/>
      <c r="EL217" s="1070"/>
      <c r="EM217" s="1070"/>
      <c r="EN217" s="1070"/>
      <c r="EO217" s="1070"/>
      <c r="EP217" s="1070"/>
      <c r="EQ217" s="1070"/>
    </row>
    <row r="218" spans="2:222" ht="37.5" hidden="1" customHeight="1" outlineLevel="1" x14ac:dyDescent="0.35">
      <c r="B218" s="493" t="s">
        <v>112</v>
      </c>
      <c r="C218" s="506"/>
      <c r="D218" s="506"/>
      <c r="E218" s="506" t="s">
        <v>36</v>
      </c>
      <c r="F218" s="499"/>
      <c r="G218" s="499"/>
      <c r="H218" s="499"/>
      <c r="I218" s="500" t="str">
        <f>"Terrændæk"&amp;" "&amp;3</f>
        <v>Terrændæk 3</v>
      </c>
      <c r="J218" s="500"/>
      <c r="K218" s="499"/>
      <c r="L218" s="499"/>
      <c r="M218" s="499"/>
      <c r="N218" s="499"/>
      <c r="O218" s="499"/>
      <c r="P218" s="499"/>
      <c r="Q218" s="501"/>
      <c r="R218" s="190"/>
      <c r="S218" s="191"/>
      <c r="V218" s="251"/>
      <c r="W218" s="323">
        <f>IF(D221=$D$82,1,0)</f>
        <v>1</v>
      </c>
      <c r="X218" s="323">
        <f>IF(I221=$D$82,1,0)</f>
        <v>1</v>
      </c>
      <c r="Y218" s="323"/>
      <c r="Z218" s="323"/>
      <c r="AA218" s="323"/>
      <c r="AB218" s="323"/>
      <c r="AC218" s="323"/>
      <c r="AD218" s="323"/>
      <c r="AE218" s="323"/>
      <c r="AF218" s="323"/>
      <c r="AG218" s="323"/>
      <c r="AH218" s="323"/>
      <c r="AI218" s="323"/>
      <c r="AJ218" s="323" t="s">
        <v>746</v>
      </c>
      <c r="AK218" s="323" t="s">
        <v>747</v>
      </c>
      <c r="AL218" s="323"/>
      <c r="AM218" s="323"/>
      <c r="AN218" s="323" t="s">
        <v>846</v>
      </c>
      <c r="AO218" s="323"/>
      <c r="AP218" s="323"/>
      <c r="AQ218" s="323"/>
      <c r="AR218" s="323" t="s">
        <v>851</v>
      </c>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c r="BM218" s="323"/>
      <c r="BN218" s="323"/>
      <c r="BO218" s="323"/>
      <c r="BP218" s="323"/>
      <c r="BQ218" s="323"/>
      <c r="BR218" s="323"/>
      <c r="BS218" s="323"/>
      <c r="BT218" s="323"/>
      <c r="BU218" s="323"/>
      <c r="BV218" s="323"/>
      <c r="BW218" s="323"/>
      <c r="BX218" s="323"/>
      <c r="BY218" s="323"/>
      <c r="BZ218" s="323"/>
      <c r="CA218" s="323"/>
      <c r="CB218" s="323"/>
      <c r="CC218" s="323"/>
      <c r="CD218" s="323"/>
      <c r="CE218" s="323"/>
      <c r="CF218" s="323"/>
      <c r="CG218" s="323"/>
      <c r="CH218" s="323"/>
      <c r="CI218" s="323"/>
      <c r="CJ218" s="323"/>
      <c r="CK218" s="323"/>
      <c r="CL218" s="323"/>
      <c r="CM218" s="323"/>
      <c r="CN218" s="323"/>
      <c r="CO218" s="323"/>
      <c r="CP218" s="431"/>
      <c r="CQ218" s="434"/>
      <c r="CR218" s="323"/>
      <c r="CS218" s="323"/>
      <c r="CT218" s="323"/>
      <c r="CU218" s="323"/>
      <c r="CV218" s="323"/>
      <c r="CW218" s="323"/>
      <c r="CX218" s="323"/>
      <c r="CY218" s="323"/>
      <c r="CZ218" s="323"/>
      <c r="EK218" s="1070"/>
      <c r="EL218" s="1070"/>
      <c r="EM218" s="1070"/>
      <c r="EN218" s="1070"/>
      <c r="EO218" s="1070"/>
      <c r="EP218" s="1070"/>
      <c r="EQ218" s="1070"/>
    </row>
    <row r="219" spans="2:222" ht="40.4" hidden="1" customHeight="1" outlineLevel="1" x14ac:dyDescent="0.35">
      <c r="B219" s="359" t="s">
        <v>78</v>
      </c>
      <c r="C219" s="195" t="s">
        <v>80</v>
      </c>
      <c r="D219" s="910" t="s">
        <v>4</v>
      </c>
      <c r="E219" s="911"/>
      <c r="F219" s="911"/>
      <c r="G219" s="911"/>
      <c r="H219" s="912"/>
      <c r="I219" s="885" t="s">
        <v>5</v>
      </c>
      <c r="J219" s="886"/>
      <c r="K219" s="886"/>
      <c r="L219" s="886"/>
      <c r="M219" s="887"/>
      <c r="N219" s="877" t="s">
        <v>79</v>
      </c>
      <c r="O219" s="877"/>
      <c r="P219" s="877"/>
      <c r="Q219" s="881"/>
      <c r="R219" s="192"/>
      <c r="S219" s="193"/>
      <c r="T219" s="175"/>
      <c r="V219" s="251"/>
      <c r="W219" s="323"/>
      <c r="X219" s="323"/>
      <c r="Y219" s="323"/>
      <c r="Z219" s="323"/>
      <c r="AA219" s="323"/>
      <c r="AB219" s="323"/>
      <c r="AC219" s="323"/>
      <c r="AD219" s="323"/>
      <c r="AE219" s="323"/>
      <c r="AF219" s="323"/>
      <c r="AG219" s="323"/>
      <c r="AH219" s="323"/>
      <c r="AI219" s="323" t="s">
        <v>338</v>
      </c>
      <c r="AJ219" s="323">
        <f>VLOOKUP(E222,Pris.gulv.belægning[],2,0)*C222</f>
        <v>0</v>
      </c>
      <c r="AK219" s="323">
        <f>VLOOKUP(J222,Pris.gulv.belægning[],2,0)*C222</f>
        <v>0</v>
      </c>
      <c r="AL219" s="323"/>
      <c r="AM219" s="323"/>
      <c r="AN219" s="323" t="s">
        <v>4</v>
      </c>
      <c r="AO219" s="323" t="s">
        <v>5</v>
      </c>
      <c r="AP219" s="323"/>
      <c r="AQ219" s="323"/>
      <c r="AR219" s="323" t="s">
        <v>4</v>
      </c>
      <c r="AS219" s="323" t="s">
        <v>5</v>
      </c>
      <c r="AT219" s="323"/>
      <c r="AU219" s="323"/>
      <c r="AV219" s="323"/>
      <c r="AW219" s="323"/>
      <c r="AX219" s="323"/>
      <c r="AY219" s="323"/>
      <c r="AZ219" s="323"/>
      <c r="BA219" s="323"/>
      <c r="BB219" s="323"/>
      <c r="BC219" s="323"/>
      <c r="BD219" s="323"/>
      <c r="BE219" s="323"/>
      <c r="BF219" s="323"/>
      <c r="BG219" s="323"/>
      <c r="BH219" s="323"/>
      <c r="BI219" s="323"/>
      <c r="BJ219" s="323"/>
      <c r="BK219" s="323"/>
      <c r="BL219" s="323"/>
      <c r="BM219" s="323"/>
      <c r="BN219" s="323"/>
      <c r="BO219" s="323"/>
      <c r="BP219" s="323"/>
      <c r="BQ219" s="323"/>
      <c r="BR219" s="323"/>
      <c r="BS219" s="323"/>
      <c r="BT219" s="323"/>
      <c r="BU219" s="323"/>
      <c r="BV219" s="323"/>
      <c r="BW219" s="323"/>
      <c r="BX219" s="323"/>
      <c r="BY219" s="323"/>
      <c r="BZ219" s="323"/>
      <c r="CA219" s="323"/>
      <c r="CB219" s="323"/>
      <c r="CC219" s="323"/>
      <c r="CD219" s="323"/>
      <c r="CE219" s="323"/>
      <c r="CF219" s="323"/>
      <c r="CG219" s="323"/>
      <c r="CH219" s="323"/>
      <c r="CI219" s="323"/>
      <c r="CJ219" s="323"/>
      <c r="CK219" s="323"/>
      <c r="CL219" s="323"/>
      <c r="CM219" s="323"/>
      <c r="CN219" s="323"/>
      <c r="CO219" s="323"/>
      <c r="CP219" s="431"/>
      <c r="CQ219" s="433"/>
      <c r="CR219" s="323"/>
      <c r="CS219" s="323"/>
      <c r="CT219" s="323"/>
      <c r="CU219" s="323"/>
      <c r="CV219" s="323"/>
      <c r="CW219" s="323"/>
      <c r="CX219" s="323"/>
      <c r="CY219" s="323"/>
      <c r="CZ219" s="323"/>
      <c r="EK219" s="1070"/>
      <c r="EL219" s="1070"/>
      <c r="EM219" s="1070"/>
      <c r="EN219" s="1070"/>
      <c r="EO219" s="1070"/>
      <c r="EP219" s="1070"/>
      <c r="EQ219" s="1070"/>
    </row>
    <row r="220" spans="2:222" ht="44.15" hidden="1" customHeight="1" outlineLevel="1" x14ac:dyDescent="0.35">
      <c r="B220" s="194"/>
      <c r="C220" s="665">
        <v>0</v>
      </c>
      <c r="D220" s="908" t="s">
        <v>797</v>
      </c>
      <c r="E220" s="909"/>
      <c r="F220" s="338" t="s">
        <v>82</v>
      </c>
      <c r="G220" s="338" t="s">
        <v>83</v>
      </c>
      <c r="H220" s="346" t="s">
        <v>84</v>
      </c>
      <c r="I220" s="913" t="s">
        <v>797</v>
      </c>
      <c r="J220" s="914"/>
      <c r="K220" s="479" t="s">
        <v>82</v>
      </c>
      <c r="L220" s="479" t="s">
        <v>83</v>
      </c>
      <c r="M220" s="508" t="s">
        <v>84</v>
      </c>
      <c r="N220" s="195" t="s">
        <v>4</v>
      </c>
      <c r="O220" s="195" t="s">
        <v>85</v>
      </c>
      <c r="P220" s="195" t="s">
        <v>5</v>
      </c>
      <c r="Q220" s="357" t="s">
        <v>86</v>
      </c>
      <c r="R220" s="192"/>
      <c r="S220" s="196"/>
      <c r="V220" s="251"/>
      <c r="W220" s="323" t="s">
        <v>87</v>
      </c>
      <c r="X220" s="323" t="s">
        <v>88</v>
      </c>
      <c r="Y220" s="323" t="s">
        <v>89</v>
      </c>
      <c r="Z220" s="323" t="s">
        <v>90</v>
      </c>
      <c r="AA220" s="323" t="s">
        <v>91</v>
      </c>
      <c r="AB220" s="323"/>
      <c r="AC220" s="323"/>
      <c r="AD220" s="323"/>
      <c r="AE220" s="323" t="s">
        <v>92</v>
      </c>
      <c r="AF220" s="323"/>
      <c r="AG220" s="323"/>
      <c r="AH220" s="323"/>
      <c r="AI220" s="323" t="s">
        <v>209</v>
      </c>
      <c r="AJ220" s="323">
        <f>VLOOKUP(E223,Pris.isolering.tag[],2,0)*F223*C223</f>
        <v>0</v>
      </c>
      <c r="AK220" s="323">
        <f>VLOOKUP(J223,Pris.isolering.tag[],2,0)*K223*C223</f>
        <v>0</v>
      </c>
      <c r="AL220" s="323"/>
      <c r="AM220" s="323"/>
      <c r="AN220" s="323">
        <f>SUM(AN222:AN226)</f>
        <v>0</v>
      </c>
      <c r="AO220" s="323">
        <f>SUM(AO222:AO226)</f>
        <v>0</v>
      </c>
      <c r="AP220" s="323"/>
      <c r="AQ220" s="323"/>
      <c r="AR220" s="323">
        <f>SUM(AR222:AR225)</f>
        <v>0</v>
      </c>
      <c r="AS220" s="323">
        <f>SUM(AS222:AS225)</f>
        <v>0</v>
      </c>
      <c r="AT220" s="323"/>
      <c r="AU220" s="323"/>
      <c r="AV220" s="323"/>
      <c r="AW220" s="323"/>
      <c r="AX220" s="323"/>
      <c r="AY220" s="323"/>
      <c r="AZ220" s="323"/>
      <c r="BA220" s="323"/>
      <c r="BB220" s="323"/>
      <c r="BC220" s="323"/>
      <c r="BD220" s="323"/>
      <c r="BE220" s="323"/>
      <c r="BF220" s="323"/>
      <c r="BG220" s="323"/>
      <c r="BH220" s="323"/>
      <c r="BI220" s="323"/>
      <c r="BJ220" s="323"/>
      <c r="BK220" s="323"/>
      <c r="BL220" s="323"/>
      <c r="BM220" s="323"/>
      <c r="BN220" s="323"/>
      <c r="BO220" s="323"/>
      <c r="BP220" s="323"/>
      <c r="BQ220" s="323"/>
      <c r="BR220" s="323"/>
      <c r="BS220" s="323"/>
      <c r="BT220" s="323"/>
      <c r="BU220" s="323"/>
      <c r="BV220" s="323"/>
      <c r="BW220" s="323"/>
      <c r="BX220" s="323"/>
      <c r="BY220" s="323"/>
      <c r="BZ220" s="323"/>
      <c r="CA220" s="323"/>
      <c r="CB220" s="323"/>
      <c r="CC220" s="323"/>
      <c r="CD220" s="323"/>
      <c r="CE220" s="323"/>
      <c r="CF220" s="323"/>
      <c r="CG220" s="323"/>
      <c r="CH220" s="323"/>
      <c r="CI220" s="323"/>
      <c r="CJ220" s="323"/>
      <c r="CK220" s="323"/>
      <c r="CL220" s="323"/>
      <c r="CM220" s="323"/>
      <c r="CN220" s="323"/>
      <c r="CO220" s="323"/>
      <c r="CP220" s="431"/>
      <c r="CQ220" s="433"/>
      <c r="CR220" s="323"/>
      <c r="CS220" s="323"/>
      <c r="CT220" s="323"/>
      <c r="CU220" s="323"/>
      <c r="CV220" s="323"/>
      <c r="CW220" s="323"/>
      <c r="CX220" s="323"/>
      <c r="CY220" s="323"/>
      <c r="CZ220" s="323"/>
      <c r="EK220" s="1070"/>
      <c r="EL220" s="1070"/>
      <c r="EM220" s="1070"/>
      <c r="EN220" s="1070"/>
      <c r="EO220" s="1070"/>
      <c r="EP220" s="1070"/>
      <c r="EQ220" s="1070"/>
    </row>
    <row r="221" spans="2:222" s="198" customFormat="1" ht="26" hidden="1" customHeight="1" outlineLevel="1" x14ac:dyDescent="0.35">
      <c r="B221" s="199"/>
      <c r="C221" s="200" t="s">
        <v>93</v>
      </c>
      <c r="D221" s="915" t="s">
        <v>811</v>
      </c>
      <c r="E221" s="915"/>
      <c r="F221" s="347" t="s">
        <v>94</v>
      </c>
      <c r="G221" s="348" t="s">
        <v>95</v>
      </c>
      <c r="H221" s="349" t="s">
        <v>96</v>
      </c>
      <c r="I221" s="915" t="s">
        <v>811</v>
      </c>
      <c r="J221" s="915"/>
      <c r="K221" s="510" t="s">
        <v>94</v>
      </c>
      <c r="L221" s="511" t="s">
        <v>95</v>
      </c>
      <c r="M221" s="512" t="s">
        <v>96</v>
      </c>
      <c r="N221" s="201" t="s">
        <v>97</v>
      </c>
      <c r="O221" s="201" t="s">
        <v>97</v>
      </c>
      <c r="P221" s="201" t="s">
        <v>97</v>
      </c>
      <c r="Q221" s="358" t="s">
        <v>97</v>
      </c>
      <c r="R221" s="202"/>
      <c r="S221" s="203"/>
      <c r="T221" s="204"/>
      <c r="U221" s="204"/>
      <c r="V221" s="325"/>
      <c r="W221" s="323">
        <f>SUM(W222:W225)</f>
        <v>0</v>
      </c>
      <c r="X221" s="323">
        <f>SUM(X222:X225)</f>
        <v>0</v>
      </c>
      <c r="Y221" s="323"/>
      <c r="Z221" s="323"/>
      <c r="AA221" s="323"/>
      <c r="AB221" s="323" t="s">
        <v>111</v>
      </c>
      <c r="AC221" s="323" t="s">
        <v>98</v>
      </c>
      <c r="AD221" s="323" t="s">
        <v>99</v>
      </c>
      <c r="AE221" s="323" t="s">
        <v>100</v>
      </c>
      <c r="AF221" s="323"/>
      <c r="AG221" s="323"/>
      <c r="AH221" s="323"/>
      <c r="AI221" s="323" t="s">
        <v>36</v>
      </c>
      <c r="AJ221" s="323">
        <f>VLOOKUP(E224,Pris.Terrændæk.konstruktion[],2,0)*F224*C224</f>
        <v>0</v>
      </c>
      <c r="AK221" s="323">
        <f>VLOOKUP(J224,Pris.Terrændæk.konstruktion[],2,0)*K224*C224</f>
        <v>0</v>
      </c>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c r="BM221" s="323"/>
      <c r="BN221" s="323"/>
      <c r="BO221" s="323"/>
      <c r="BP221" s="323"/>
      <c r="BQ221" s="323"/>
      <c r="BR221" s="323"/>
      <c r="BS221" s="323"/>
      <c r="BT221" s="323"/>
      <c r="BU221" s="323"/>
      <c r="BV221" s="323"/>
      <c r="BW221" s="323"/>
      <c r="BX221" s="323"/>
      <c r="BY221" s="323"/>
      <c r="BZ221" s="323"/>
      <c r="CA221" s="323"/>
      <c r="CB221" s="323"/>
      <c r="CC221" s="323"/>
      <c r="CD221" s="323"/>
      <c r="CE221" s="323"/>
      <c r="CF221" s="323"/>
      <c r="CG221" s="323"/>
      <c r="CH221" s="323"/>
      <c r="CI221" s="323"/>
      <c r="CJ221" s="323"/>
      <c r="CK221" s="323"/>
      <c r="CL221" s="323"/>
      <c r="CM221" s="323"/>
      <c r="CN221" s="323"/>
      <c r="CO221" s="323"/>
      <c r="CP221" s="435"/>
      <c r="CQ221" s="433"/>
      <c r="CR221" s="323"/>
      <c r="CS221" s="323"/>
      <c r="CT221" s="323"/>
      <c r="CU221" s="323"/>
      <c r="CV221" s="323"/>
      <c r="CW221" s="323"/>
      <c r="CX221" s="323"/>
      <c r="CY221" s="323"/>
      <c r="CZ221" s="323"/>
      <c r="DA221" s="325"/>
      <c r="DB221" s="325"/>
      <c r="DC221" s="325"/>
      <c r="DD221" s="325"/>
      <c r="DE221" s="325"/>
      <c r="DF221" s="325"/>
      <c r="DG221" s="325"/>
      <c r="DH221" s="325"/>
      <c r="DI221" s="325"/>
      <c r="DJ221" s="325"/>
      <c r="DK221" s="325"/>
      <c r="DL221" s="325"/>
      <c r="DM221" s="325"/>
      <c r="DN221" s="325"/>
      <c r="DO221" s="325"/>
      <c r="DP221" s="325"/>
      <c r="DQ221" s="325"/>
      <c r="DR221" s="325"/>
      <c r="DS221" s="325"/>
      <c r="DT221" s="325"/>
      <c r="DU221" s="325"/>
      <c r="DV221" s="325"/>
      <c r="DW221" s="325"/>
      <c r="DX221" s="325"/>
      <c r="DY221" s="325"/>
      <c r="DZ221" s="325"/>
      <c r="EA221" s="325"/>
      <c r="EB221" s="325"/>
      <c r="EC221" s="325"/>
      <c r="ED221" s="325"/>
      <c r="EE221" s="325"/>
      <c r="EF221" s="325"/>
      <c r="EG221" s="325"/>
      <c r="EH221" s="325"/>
      <c r="EI221" s="325"/>
      <c r="EJ221" s="325"/>
      <c r="EK221" s="1072"/>
      <c r="EL221" s="1072"/>
      <c r="EM221" s="1072"/>
      <c r="EN221" s="1072"/>
      <c r="EO221" s="1072"/>
      <c r="EP221" s="1072"/>
      <c r="EQ221" s="1072"/>
      <c r="ER221" s="325"/>
      <c r="ES221" s="325"/>
      <c r="ET221" s="325"/>
      <c r="EU221" s="325"/>
      <c r="EV221" s="325"/>
      <c r="EW221" s="325"/>
      <c r="EX221" s="325"/>
      <c r="EY221" s="325"/>
      <c r="EZ221" s="325"/>
      <c r="FA221" s="325"/>
      <c r="FB221" s="325"/>
      <c r="FC221" s="325"/>
      <c r="FD221" s="325"/>
      <c r="FE221" s="325"/>
      <c r="FF221" s="325"/>
      <c r="FG221" s="325"/>
      <c r="FH221" s="325"/>
      <c r="FI221" s="325"/>
      <c r="FJ221" s="325"/>
      <c r="FK221" s="325"/>
      <c r="FL221" s="325"/>
      <c r="FM221" s="325"/>
      <c r="FN221" s="325"/>
      <c r="FO221" s="325"/>
      <c r="FP221" s="325"/>
      <c r="FQ221" s="325"/>
      <c r="FR221" s="325"/>
      <c r="FS221" s="325"/>
      <c r="FT221" s="325"/>
      <c r="FU221" s="325"/>
      <c r="FV221" s="325"/>
      <c r="FW221" s="325"/>
      <c r="FX221" s="325"/>
      <c r="FY221" s="325"/>
      <c r="FZ221" s="325"/>
      <c r="GA221" s="325"/>
      <c r="GB221" s="325"/>
      <c r="GC221" s="325"/>
      <c r="GD221" s="325"/>
      <c r="GE221" s="325"/>
      <c r="GF221" s="325"/>
      <c r="GG221" s="325"/>
      <c r="GH221" s="325"/>
      <c r="GI221" s="325"/>
      <c r="GJ221" s="325"/>
      <c r="GK221" s="325"/>
      <c r="GL221" s="325"/>
      <c r="GM221" s="325"/>
      <c r="GN221" s="325"/>
      <c r="GO221" s="325"/>
      <c r="GP221" s="325"/>
      <c r="GQ221" s="325"/>
      <c r="GR221" s="325"/>
      <c r="GS221" s="325"/>
      <c r="GT221" s="325"/>
      <c r="GU221" s="325"/>
      <c r="GV221" s="325"/>
      <c r="GW221" s="325"/>
      <c r="GX221" s="325"/>
      <c r="GY221" s="325"/>
      <c r="GZ221" s="325"/>
      <c r="HA221" s="325"/>
      <c r="HB221" s="325"/>
      <c r="HC221" s="325"/>
      <c r="HD221" s="325"/>
      <c r="HE221" s="325"/>
      <c r="HF221" s="325"/>
      <c r="HG221" s="325"/>
      <c r="HH221" s="325"/>
      <c r="HI221" s="325"/>
      <c r="HJ221" s="325"/>
      <c r="HK221" s="325"/>
      <c r="HL221" s="325"/>
      <c r="HM221" s="325"/>
      <c r="HN221" s="325"/>
    </row>
    <row r="222" spans="2:222" ht="40.4" hidden="1" customHeight="1" outlineLevel="1" thickBot="1" x14ac:dyDescent="0.4">
      <c r="B222" s="363" t="str">
        <f>'LCA data'!$B$149</f>
        <v>Gulvoverflade</v>
      </c>
      <c r="C222" s="469">
        <f>$C$220*$C$43</f>
        <v>0</v>
      </c>
      <c r="D222" s="15" t="s">
        <v>103</v>
      </c>
      <c r="E222" s="342" t="str">
        <f>IF($D$221=$D$82,D222,VLOOKUP(B222,Auto_Terrændæk[],VLOOKUP($D$221,Type_Tung_Middel_Let[],2,0),0))</f>
        <v>Angiv ikke</v>
      </c>
      <c r="F222" s="356">
        <f>(VLOOKUP(E222,Pris.gulv.belægning[],4,0))/1000</f>
        <v>0</v>
      </c>
      <c r="G222" s="350"/>
      <c r="H222" s="351" t="str">
        <f>IFERROR(IF(VLOOKUP(B222&amp;"_"&amp;E222,'LCA data'!$B$7:$X$200,2,FALSE)&lt;$Y$24,1,0)+IF(VLOOKUP(B222&amp;"_"&amp;E222,'LCA data'!$B$7:$X$200,2,FALSE)*2&lt;$Y$24,1,0),"")</f>
        <v/>
      </c>
      <c r="I222" s="15" t="s">
        <v>103</v>
      </c>
      <c r="J222" s="342" t="str">
        <f>IF($I$221=$D$82,I222,VLOOKUP(B222,Auto_Terrændæk[],VLOOKUP($I$221,Type_Tung_Middel_Let[],2,0),0))</f>
        <v>Angiv ikke</v>
      </c>
      <c r="K222" s="513">
        <f>(VLOOKUP(J222,Pris.gulv.belægning[],4,0))/1000</f>
        <v>0</v>
      </c>
      <c r="L222" s="514"/>
      <c r="M222" s="515" t="str">
        <f>IFERROR(IF(VLOOKUP(B222&amp;"_"&amp;J222,'LCA data'!$B$7:$X$200,2,FALSE)&lt;$Y$24,1,0)+IF(VLOOKUP(B222&amp;"_"&amp;J222,'LCA data'!$B$7:$X$200,2,FALSE)*2&lt;$Y$24,1,0),"")</f>
        <v/>
      </c>
      <c r="N222" s="364">
        <f>W222/1000</f>
        <v>0</v>
      </c>
      <c r="O222" s="880">
        <f>SUM(N222:N226)</f>
        <v>0</v>
      </c>
      <c r="P222" s="365">
        <f>X222/1000</f>
        <v>0</v>
      </c>
      <c r="Q222" s="888">
        <f>SUM(P222:P226)</f>
        <v>0</v>
      </c>
      <c r="R222" s="192"/>
      <c r="S222" s="196"/>
      <c r="V222" s="251"/>
      <c r="W222" s="323">
        <f>IF(E222="Angiv ikke",0,((1+H222)*VLOOKUP(B222&amp;"_"&amp;E222,'LCA data'!$B$7:$X$360,19,FALSE)*(F222*10^3)*C222))</f>
        <v>0</v>
      </c>
      <c r="X222" s="323">
        <f>IF(J222="Angiv ikke",0,((1+M222)*VLOOKUP(B222&amp;"_"&amp;J222,'LCA data'!$B$7:$X$360,19,FALSE)*(K222*10^3)*C222))</f>
        <v>0</v>
      </c>
      <c r="Y222" s="323"/>
      <c r="Z222" s="323"/>
      <c r="AA222" s="323" t="s">
        <v>4</v>
      </c>
      <c r="AB222" s="323">
        <f>AF222/$J$21/$Y$24*1000</f>
        <v>0</v>
      </c>
      <c r="AC222" s="323">
        <f>Varmetab!H79</f>
        <v>0</v>
      </c>
      <c r="AD222" s="323">
        <f>AB222+AC222</f>
        <v>0</v>
      </c>
      <c r="AE222" s="323" t="s">
        <v>4</v>
      </c>
      <c r="AF222" s="323">
        <f>W221/1000</f>
        <v>0</v>
      </c>
      <c r="AG222" s="323"/>
      <c r="AH222" s="323"/>
      <c r="AI222" s="323" t="s">
        <v>800</v>
      </c>
      <c r="AJ222" s="323">
        <f>VLOOKUP(E225,Pris.kapillarbryddende.lag[],2,0)*F225*C225</f>
        <v>0</v>
      </c>
      <c r="AK222" s="323">
        <f>VLOOKUP(J225,Pris.kapillarbryddende.lag[],2,0)*K225*C225</f>
        <v>0</v>
      </c>
      <c r="AL222" s="323"/>
      <c r="AM222" s="323"/>
      <c r="AN222" s="323">
        <f>IF(E222="Angiv ikke",0,((1+H222)*VLOOKUP(B222&amp;"_"&amp;E222,'LCA data'!$B$7:$X$360,20,FALSE)*(F222*10^3)*C222))</f>
        <v>0</v>
      </c>
      <c r="AO222" s="323">
        <f>IF(J222="Angiv ikke",0,((1+M222)*VLOOKUP(B222&amp;"_"&amp;J222,'LCA data'!$B$7:$X$360,20,FALSE)*(K222*10^3)*C222))</f>
        <v>0</v>
      </c>
      <c r="AP222" s="323"/>
      <c r="AQ222" s="323"/>
      <c r="AR222" s="323">
        <f>IF(E222="Angiv ikke",0,((1+H222)*VLOOKUP(B222&amp;"_"&amp;E222,'LCA data'!$B$7:$AA$360,26,FALSE)*(F222*10^3)*C222))</f>
        <v>0</v>
      </c>
      <c r="AS222" s="323">
        <f>IF(J222="Angiv ikke",0,((1+M222)*VLOOKUP(B222&amp;"_"&amp;J222,'LCA data'!$B$7:$AA$360,26,FALSE)*(K222*10^3)*C222))</f>
        <v>0</v>
      </c>
      <c r="AT222" s="323"/>
      <c r="AU222" s="323"/>
      <c r="AV222" s="323"/>
      <c r="AW222" s="323"/>
      <c r="AX222" s="323"/>
      <c r="AY222" s="323"/>
      <c r="AZ222" s="323"/>
      <c r="BA222" s="323"/>
      <c r="BB222" s="323"/>
      <c r="BC222" s="323"/>
      <c r="BD222" s="323"/>
      <c r="BE222" s="323"/>
      <c r="BF222" s="323"/>
      <c r="BG222" s="323"/>
      <c r="BH222" s="323"/>
      <c r="BI222" s="323"/>
      <c r="BJ222" s="323"/>
      <c r="BK222" s="323"/>
      <c r="BL222" s="323"/>
      <c r="BM222" s="323"/>
      <c r="BN222" s="323"/>
      <c r="BO222" s="323"/>
      <c r="BP222" s="323"/>
      <c r="BQ222" s="323"/>
      <c r="BR222" s="323"/>
      <c r="BS222" s="323"/>
      <c r="BT222" s="323"/>
      <c r="BU222" s="323"/>
      <c r="BV222" s="323"/>
      <c r="BW222" s="323"/>
      <c r="BX222" s="323"/>
      <c r="BY222" s="323"/>
      <c r="BZ222" s="323"/>
      <c r="CA222" s="323"/>
      <c r="CB222" s="323"/>
      <c r="CC222" s="323"/>
      <c r="CD222" s="323"/>
      <c r="CE222" s="323"/>
      <c r="CF222" s="323"/>
      <c r="CG222" s="323"/>
      <c r="CH222" s="323"/>
      <c r="CI222" s="323"/>
      <c r="CJ222" s="323"/>
      <c r="CK222" s="323"/>
      <c r="CL222" s="323"/>
      <c r="CM222" s="323"/>
      <c r="CN222" s="323"/>
      <c r="CO222" s="323"/>
      <c r="CP222" s="442"/>
      <c r="CQ222" s="438"/>
      <c r="CR222" s="323"/>
      <c r="CS222" s="323"/>
      <c r="CT222" s="323"/>
      <c r="CU222" s="323"/>
      <c r="CV222" s="323"/>
      <c r="CW222" s="323"/>
      <c r="CX222" s="323"/>
      <c r="CY222" s="323"/>
      <c r="CZ222" s="323"/>
      <c r="EK222" s="1070"/>
      <c r="EL222" s="1070"/>
      <c r="EM222" s="1070"/>
      <c r="EN222" s="1070"/>
      <c r="EO222" s="1070"/>
      <c r="EP222" s="1070"/>
      <c r="EQ222" s="1070"/>
    </row>
    <row r="223" spans="2:222" ht="40.4" hidden="1" customHeight="1" outlineLevel="1" x14ac:dyDescent="0.35">
      <c r="B223" s="208" t="str">
        <f>'LCA data'!B$32</f>
        <v>Isolering</v>
      </c>
      <c r="C223" s="466">
        <f t="shared" ref="C223:C225" si="19">$C$220*$C$43</f>
        <v>0</v>
      </c>
      <c r="D223" s="168" t="s">
        <v>103</v>
      </c>
      <c r="E223" s="342" t="str">
        <f>IF($D$221=$D$82,D223,VLOOKUP(B223,Auto_Terrændæk[],VLOOKUP($D$221,Type_Tung_Middel_Let[],2,0),0))</f>
        <v>Angiv ikke</v>
      </c>
      <c r="F223" s="11">
        <v>0.4</v>
      </c>
      <c r="G223" s="473" t="str">
        <f>VLOOKUP(E223,Isoleringsmateriale[],2,0)</f>
        <v>?</v>
      </c>
      <c r="H223" s="351" t="str">
        <f>IFERROR(IF(VLOOKUP(B223&amp;"_"&amp;E223,'LCA data'!$B$7:$X$200,2,FALSE)&lt;$Y$24,1,0)+IF(VLOOKUP(B223&amp;"_"&amp;E223,'LCA data'!$B$7:$X$200,2,FALSE)*2&lt;$Y$24,1,0),"")</f>
        <v/>
      </c>
      <c r="I223" s="168" t="s">
        <v>103</v>
      </c>
      <c r="J223" s="342" t="str">
        <f>IF($I$221=$D$82,I223,VLOOKUP(B223,Auto_Terrændæk[],VLOOKUP($I$221,Type_Tung_Middel_Let[],2,0),0))</f>
        <v>Angiv ikke</v>
      </c>
      <c r="K223" s="11">
        <v>0.4</v>
      </c>
      <c r="L223" s="473" t="str">
        <f>VLOOKUP(J223,Isoleringsmateriale[],2,0)</f>
        <v>?</v>
      </c>
      <c r="M223" s="515" t="str">
        <f>IFERROR(IF(VLOOKUP(B223&amp;"_"&amp;J223,'LCA data'!$B$7:$X$200,2,FALSE)&lt;$Y$24,1,0)+IF(VLOOKUP(B223&amp;"_"&amp;J223,'LCA data'!$B$7:$X$200,2,FALSE)*2&lt;$Y$24,1,0),"")</f>
        <v/>
      </c>
      <c r="N223" s="206">
        <f>W223/1000</f>
        <v>0</v>
      </c>
      <c r="O223" s="878"/>
      <c r="P223" s="207">
        <f>X223/1000</f>
        <v>0</v>
      </c>
      <c r="Q223" s="889"/>
      <c r="R223" s="192"/>
      <c r="S223" s="196"/>
      <c r="V223" s="251"/>
      <c r="W223" s="323">
        <f>IF(E223="Angiv ikke",0,((1+H223)*VLOOKUP(B223&amp;"_"&amp;E223,'LCA data'!$B$7:$X$360,19,FALSE)*(F223*10^3)*C223))</f>
        <v>0</v>
      </c>
      <c r="X223" s="323">
        <f>IF(J223="Angiv ikke",0,((1+M223)*VLOOKUP(B223&amp;"_"&amp;J223,'LCA data'!$B$7:$X$360,19,FALSE)*(K223*10^3)*C223))</f>
        <v>0</v>
      </c>
      <c r="Y223" s="323">
        <f>IF(G223="_",0,AC222*$J$21*$Y$24)</f>
        <v>0</v>
      </c>
      <c r="Z223" s="323">
        <f>IF(L223="_",0,AC223*$J$21*$Y$24)</f>
        <v>0</v>
      </c>
      <c r="AA223" s="323" t="s">
        <v>5</v>
      </c>
      <c r="AB223" s="323">
        <f>AG223/$J$21/$Y$24*1000</f>
        <v>0</v>
      </c>
      <c r="AC223" s="323">
        <f>Varmetab!I79</f>
        <v>0</v>
      </c>
      <c r="AD223" s="323">
        <f>AB223+AC223</f>
        <v>0</v>
      </c>
      <c r="AE223" s="323" t="s">
        <v>5</v>
      </c>
      <c r="AF223" s="323"/>
      <c r="AG223" s="323">
        <f>X221/1000</f>
        <v>0</v>
      </c>
      <c r="AH223" s="323"/>
      <c r="AI223" s="323" t="s">
        <v>743</v>
      </c>
      <c r="AJ223" s="323">
        <f>SUM(AJ219:AJ222)</f>
        <v>0</v>
      </c>
      <c r="AK223" s="323">
        <f>SUM(AK219:AK222)</f>
        <v>0</v>
      </c>
      <c r="AL223" s="323"/>
      <c r="AM223" s="323"/>
      <c r="AN223" s="323">
        <f>IF(E223="Angiv ikke",0,((1+H223)*VLOOKUP(B223&amp;"_"&amp;E223,'LCA data'!$B$7:$X$360,20,FALSE)*(F223*10^3)*C223))</f>
        <v>0</v>
      </c>
      <c r="AO223" s="323">
        <f>IF(J223="Angiv ikke",0,((1+M223)*VLOOKUP(B223&amp;"_"&amp;J223,'LCA data'!$B$7:$X$360,20,FALSE)*(K223*10^3)*C223))</f>
        <v>0</v>
      </c>
      <c r="AP223" s="323"/>
      <c r="AQ223" s="323"/>
      <c r="AR223" s="323">
        <f>IF(E223="Angiv ikke",0,((1+H223)*VLOOKUP(B223&amp;"_"&amp;E223,'LCA data'!$B$7:$AA$360,26,FALSE)*(F223*10^3)*C223))</f>
        <v>0</v>
      </c>
      <c r="AS223" s="323">
        <f>IF(J223="Angiv ikke",0,((1+M223)*VLOOKUP(B223&amp;"_"&amp;J223,'LCA data'!$B$7:$AA$360,26,FALSE)*(K223*10^3)*C223))</f>
        <v>0</v>
      </c>
      <c r="AT223" s="323"/>
      <c r="AU223" s="323"/>
      <c r="AV223" s="323"/>
      <c r="AW223" s="323"/>
      <c r="AX223" s="323"/>
      <c r="AY223" s="323"/>
      <c r="AZ223" s="323"/>
      <c r="BA223" s="323"/>
      <c r="BB223" s="323"/>
      <c r="BC223" s="323"/>
      <c r="BD223" s="323"/>
      <c r="BE223" s="323"/>
      <c r="BF223" s="323"/>
      <c r="BG223" s="323"/>
      <c r="BH223" s="323"/>
      <c r="BI223" s="323"/>
      <c r="BJ223" s="323"/>
      <c r="BK223" s="323"/>
      <c r="BL223" s="323"/>
      <c r="BM223" s="323"/>
      <c r="BN223" s="323"/>
      <c r="BO223" s="323"/>
      <c r="BP223" s="323"/>
      <c r="BQ223" s="323"/>
      <c r="BR223" s="323"/>
      <c r="BS223" s="323"/>
      <c r="BT223" s="323"/>
      <c r="BU223" s="323"/>
      <c r="BV223" s="323"/>
      <c r="BW223" s="323"/>
      <c r="BX223" s="323"/>
      <c r="BY223" s="323"/>
      <c r="BZ223" s="323"/>
      <c r="CA223" s="323"/>
      <c r="CB223" s="323"/>
      <c r="CC223" s="323"/>
      <c r="CD223" s="323"/>
      <c r="CE223" s="323"/>
      <c r="CF223" s="323"/>
      <c r="CG223" s="323"/>
      <c r="CH223" s="323"/>
      <c r="CI223" s="323"/>
      <c r="CJ223" s="323"/>
      <c r="CK223" s="323"/>
      <c r="CL223" s="323"/>
      <c r="CM223" s="323"/>
      <c r="CN223" s="323"/>
      <c r="CO223" s="323"/>
      <c r="CP223" s="439"/>
      <c r="CQ223" s="440"/>
      <c r="CR223" s="323"/>
      <c r="CS223" s="323"/>
      <c r="CT223" s="323"/>
      <c r="CU223" s="323"/>
      <c r="CV223" s="323"/>
      <c r="CW223" s="323"/>
      <c r="CX223" s="323"/>
      <c r="CY223" s="323"/>
      <c r="CZ223" s="323"/>
      <c r="EK223" s="1070"/>
      <c r="EL223" s="1070"/>
      <c r="EM223" s="1070"/>
      <c r="EN223" s="1070"/>
      <c r="EO223" s="1070"/>
      <c r="EP223" s="1070"/>
      <c r="EQ223" s="1070"/>
    </row>
    <row r="224" spans="2:222" ht="40.4" hidden="1" customHeight="1" outlineLevel="1" thickBot="1" x14ac:dyDescent="0.4">
      <c r="B224" s="205" t="str">
        <f>'LCA data'!$B$119</f>
        <v>Terrændæk</v>
      </c>
      <c r="C224" s="466">
        <f t="shared" si="19"/>
        <v>0</v>
      </c>
      <c r="D224" s="169" t="s">
        <v>103</v>
      </c>
      <c r="E224" s="342" t="str">
        <f>IF($D$221=$D$82,D224,VLOOKUP(B224,Auto_Terrændæk[],VLOOKUP($D$221,Type_Tung_Middel_Let[],2,0),0))</f>
        <v>Angiv ikke</v>
      </c>
      <c r="F224" s="172">
        <f>VLOOKUP(E224,Pris.Terrændæk.konstruktion[],4,0)/1000</f>
        <v>0</v>
      </c>
      <c r="G224" s="350"/>
      <c r="H224" s="351" t="str">
        <f>IFERROR(IF(VLOOKUP(B224&amp;"_"&amp;E224,'LCA data'!$B$7:$X$200,2,FALSE)&lt;$Y$24,1,0)+IF(VLOOKUP(B224&amp;"_"&amp;E224,'LCA data'!$B$7:$X$200,2,FALSE)*2&lt;$Y$24,1,0),"")</f>
        <v/>
      </c>
      <c r="I224" s="169" t="s">
        <v>103</v>
      </c>
      <c r="J224" s="342" t="str">
        <f>IF($I$221=$D$82,I224,VLOOKUP(B224,Auto_Terrændæk[],VLOOKUP($I$221,Type_Tung_Middel_Let[],2,0),0))</f>
        <v>Angiv ikke</v>
      </c>
      <c r="K224" s="172">
        <f>VLOOKUP(J224,Pris.Terrændæk.konstruktion[],4,0)/1000</f>
        <v>0</v>
      </c>
      <c r="L224" s="514"/>
      <c r="M224" s="515" t="str">
        <f>IFERROR(IF(VLOOKUP(B224&amp;"_"&amp;J224,'LCA data'!$B$7:$X$200,2,FALSE)&lt;$Y$24,1,0)+IF(VLOOKUP(B224&amp;"_"&amp;J224,'LCA data'!$B$7:$X$200,2,FALSE)*2&lt;$Y$24,1,0),"")</f>
        <v/>
      </c>
      <c r="N224" s="206">
        <f>W224/1000</f>
        <v>0</v>
      </c>
      <c r="O224" s="878"/>
      <c r="P224" s="207">
        <f>X224/1000</f>
        <v>0</v>
      </c>
      <c r="Q224" s="889"/>
      <c r="R224" s="192"/>
      <c r="S224" s="196"/>
      <c r="V224" s="251"/>
      <c r="W224" s="323">
        <f>IF(E224="Angiv ikke",0,((1+H224)*VLOOKUP(B224&amp;"_"&amp;E224,'LCA data'!$B$7:$X$360,19,FALSE)*(F224*10^3)*C224))</f>
        <v>0</v>
      </c>
      <c r="X224" s="323">
        <f>IF(J224="Angiv ikke",0,((1+M224)*VLOOKUP(B224&amp;"_"&amp;J224,'LCA data'!$B$7:$X$360,19,FALSE)*(K224*10^3)*C224))</f>
        <v>0</v>
      </c>
      <c r="Y224" s="323"/>
      <c r="Z224" s="323"/>
      <c r="AA224" s="323"/>
      <c r="AB224" s="323"/>
      <c r="AC224" s="323"/>
      <c r="AD224" s="323"/>
      <c r="AE224" s="323"/>
      <c r="AF224" s="323"/>
      <c r="AG224" s="323"/>
      <c r="AH224" s="323"/>
      <c r="AI224" s="323"/>
      <c r="AJ224" s="323"/>
      <c r="AK224" s="323"/>
      <c r="AL224" s="323"/>
      <c r="AM224" s="323"/>
      <c r="AN224" s="323">
        <f>IF(E224="Angiv ikke",0,((1+H224)*VLOOKUP(B224&amp;"_"&amp;E224,'LCA data'!$B$7:$X$360,20,FALSE)*(F224*10^3)*C224))</f>
        <v>0</v>
      </c>
      <c r="AO224" s="323">
        <f>IF(J224="Angiv ikke",0,((1+M224)*VLOOKUP(B224&amp;"_"&amp;J224,'LCA data'!$B$7:$X$360,20,FALSE)*(K224*10^3)*C224))</f>
        <v>0</v>
      </c>
      <c r="AP224" s="323"/>
      <c r="AQ224" s="323"/>
      <c r="AR224" s="323">
        <f>IF(E224="Angiv ikke",0,((1+H224)*VLOOKUP(B224&amp;"_"&amp;E224,'LCA data'!$B$7:$AA$360,26,FALSE)*(F224*10^3)*C224))</f>
        <v>0</v>
      </c>
      <c r="AS224" s="323">
        <f>IF(J224="Angiv ikke",0,((1+M224)*VLOOKUP(B224&amp;"_"&amp;J224,'LCA data'!$B$7:$AA$360,26,FALSE)*(K224*10^3)*C224))</f>
        <v>0</v>
      </c>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A224" s="323"/>
      <c r="CB224" s="323"/>
      <c r="CC224" s="323"/>
      <c r="CD224" s="323"/>
      <c r="CE224" s="323"/>
      <c r="CF224" s="323"/>
      <c r="CG224" s="323"/>
      <c r="CH224" s="323"/>
      <c r="CI224" s="323"/>
      <c r="CJ224" s="323"/>
      <c r="CK224" s="323"/>
      <c r="CL224" s="323"/>
      <c r="CM224" s="323"/>
      <c r="CN224" s="323"/>
      <c r="CO224" s="323"/>
      <c r="CP224" s="428"/>
      <c r="CQ224" s="440"/>
      <c r="CR224" s="323"/>
      <c r="CS224" s="323"/>
      <c r="CT224" s="323"/>
      <c r="CU224" s="323"/>
      <c r="CV224" s="323"/>
      <c r="CW224" s="323"/>
      <c r="CX224" s="323"/>
      <c r="CY224" s="323"/>
      <c r="CZ224" s="323"/>
      <c r="EK224" s="1070"/>
      <c r="EL224" s="1070"/>
      <c r="EM224" s="1070"/>
      <c r="EN224" s="1070"/>
      <c r="EO224" s="1070"/>
      <c r="EP224" s="1070"/>
      <c r="EQ224" s="1070"/>
    </row>
    <row r="225" spans="2:222" ht="40.4" hidden="1" customHeight="1" outlineLevel="1" thickBot="1" x14ac:dyDescent="0.4">
      <c r="B225" s="209" t="str">
        <f>'LCA data'!$B$129</f>
        <v>Kapillarbrydende lag</v>
      </c>
      <c r="C225" s="667">
        <f t="shared" si="19"/>
        <v>0</v>
      </c>
      <c r="D225" s="171" t="s">
        <v>103</v>
      </c>
      <c r="E225" s="382" t="str">
        <f>IF($D$221=$D$82,D225,VLOOKUP(B225,Auto_Terrændæk[],VLOOKUP($D$221,Type_Tung_Middel_Let[],2,0),0))</f>
        <v>Angiv ikke</v>
      </c>
      <c r="F225" s="461">
        <f>(VLOOKUP(E225,Pris.kapillarbryddende.lag[],4,0))/1000</f>
        <v>0</v>
      </c>
      <c r="G225" s="354"/>
      <c r="H225" s="355" t="str">
        <f>IFERROR(IF(VLOOKUP(B225&amp;"_"&amp;E225,'LCA data'!$B$7:$X$200,2,FALSE)&lt;$Y$24,1,0)+IF(VLOOKUP(B225&amp;"_"&amp;E225,'LCA data'!$B$7:$X$200,2,FALSE)*2&lt;$Y$24,1,0),"")</f>
        <v/>
      </c>
      <c r="I225" s="171" t="s">
        <v>103</v>
      </c>
      <c r="J225" s="382" t="str">
        <f>IF($I$221=$D$82,I225,VLOOKUP(B225,Auto_Terrændæk[],VLOOKUP($I$221,Type_Tung_Middel_Let[],2,0),0))</f>
        <v>Angiv ikke</v>
      </c>
      <c r="K225" s="461">
        <f>(VLOOKUP(J225,Pris.kapillarbryddende.lag[],4,0))/1000</f>
        <v>0</v>
      </c>
      <c r="L225" s="519"/>
      <c r="M225" s="520" t="str">
        <f>IFERROR(IF(VLOOKUP(B225&amp;"_"&amp;J225,'LCA data'!$B$7:$X$200,2,FALSE)&lt;$Y$24,1,0)+IF(VLOOKUP(B225&amp;"_"&amp;J225,'LCA data'!$B$7:$X$200,2,FALSE)*2&lt;$Y$24,1,0),"")</f>
        <v/>
      </c>
      <c r="N225" s="210">
        <f>W225/1000</f>
        <v>0</v>
      </c>
      <c r="O225" s="879"/>
      <c r="P225" s="211">
        <f>X225/1000</f>
        <v>0</v>
      </c>
      <c r="Q225" s="890"/>
      <c r="R225" s="212"/>
      <c r="S225" s="213"/>
      <c r="V225" s="251"/>
      <c r="W225" s="323">
        <f>IF(E225="Angiv ikke",0,((1+H225)*VLOOKUP(B225&amp;"_"&amp;E225,'LCA data'!$B$7:$X$360,19,FALSE)*(F225*10^3)*C225))</f>
        <v>0</v>
      </c>
      <c r="X225" s="323">
        <f>IF(J225="Angiv ikke",0,((1+M225)*VLOOKUP(B225&amp;"_"&amp;J225,'LCA data'!$B$7:$X$360,19,FALSE)*(K225*10^3)*C225))</f>
        <v>0</v>
      </c>
      <c r="Y225" s="323"/>
      <c r="Z225" s="323"/>
      <c r="AA225" s="323"/>
      <c r="AB225" s="323"/>
      <c r="AC225" s="323"/>
      <c r="AD225" s="323"/>
      <c r="AE225" s="323"/>
      <c r="AF225" s="323"/>
      <c r="AG225" s="323"/>
      <c r="AH225" s="323"/>
      <c r="AI225" s="323"/>
      <c r="AJ225" s="323"/>
      <c r="AK225" s="323"/>
      <c r="AL225" s="323"/>
      <c r="AM225" s="323"/>
      <c r="AN225" s="323">
        <f>IF(E225="Angiv ikke",0,((1+H225)*VLOOKUP(B225&amp;"_"&amp;E225,'LCA data'!$B$7:$X$360,20,FALSE)*(F225*10^3)*C225))</f>
        <v>0</v>
      </c>
      <c r="AO225" s="323">
        <f>IF(J225="Angiv ikke",0,((1+M225)*VLOOKUP(B225&amp;"_"&amp;J225,'LCA data'!$B$7:$X$360,20,FALSE)*(K225*10^3)*C225))</f>
        <v>0</v>
      </c>
      <c r="AP225" s="323"/>
      <c r="AQ225" s="323"/>
      <c r="AR225" s="323">
        <f>IF(E225="Angiv ikke",0,((1+H225)*VLOOKUP(B225&amp;"_"&amp;E225,'LCA data'!$B$7:$AA$360,26,FALSE)*(F225*10^3)*C225))</f>
        <v>0</v>
      </c>
      <c r="AS225" s="323">
        <f>IF(J225="Angiv ikke",0,((1+M225)*VLOOKUP(B225&amp;"_"&amp;J225,'LCA data'!$B$7:$AA$360,26,FALSE)*(K225*10^3)*C225))</f>
        <v>0</v>
      </c>
      <c r="AT225" s="323"/>
      <c r="AU225" s="323"/>
      <c r="AV225" s="323"/>
      <c r="AW225" s="323"/>
      <c r="AX225" s="323"/>
      <c r="AY225" s="323"/>
      <c r="AZ225" s="323"/>
      <c r="BA225" s="323"/>
      <c r="BB225" s="323"/>
      <c r="BC225" s="323"/>
      <c r="BD225" s="323"/>
      <c r="BE225" s="323"/>
      <c r="BF225" s="323"/>
      <c r="BG225" s="323"/>
      <c r="BH225" s="323"/>
      <c r="BI225" s="323"/>
      <c r="BJ225" s="323"/>
      <c r="BK225" s="323"/>
      <c r="BL225" s="323"/>
      <c r="BM225" s="323"/>
      <c r="BN225" s="323"/>
      <c r="BO225" s="323"/>
      <c r="BP225" s="323"/>
      <c r="BQ225" s="323"/>
      <c r="BR225" s="323"/>
      <c r="BS225" s="323"/>
      <c r="BT225" s="323"/>
      <c r="BU225" s="323"/>
      <c r="BV225" s="323"/>
      <c r="BW225" s="323"/>
      <c r="BX225" s="323"/>
      <c r="BY225" s="323"/>
      <c r="BZ225" s="323"/>
      <c r="CA225" s="323"/>
      <c r="CB225" s="323"/>
      <c r="CC225" s="323"/>
      <c r="CD225" s="323"/>
      <c r="CE225" s="323"/>
      <c r="CF225" s="323"/>
      <c r="CG225" s="323"/>
      <c r="CH225" s="323"/>
      <c r="CI225" s="323"/>
      <c r="CJ225" s="323"/>
      <c r="CK225" s="323"/>
      <c r="CL225" s="323"/>
      <c r="CM225" s="323"/>
      <c r="CN225" s="323"/>
      <c r="CO225" s="323"/>
      <c r="CP225" s="1144" t="s">
        <v>77</v>
      </c>
      <c r="CQ225" s="1145"/>
      <c r="CR225" s="323"/>
      <c r="CS225" s="323"/>
      <c r="CT225" s="323"/>
      <c r="CU225" s="323"/>
      <c r="CV225" s="323"/>
      <c r="CW225" s="323"/>
      <c r="CX225" s="323"/>
      <c r="CY225" s="323"/>
      <c r="CZ225" s="323"/>
      <c r="EK225" s="1070"/>
      <c r="EL225" s="1070"/>
      <c r="EM225" s="1070"/>
      <c r="EN225" s="1070"/>
      <c r="EO225" s="1070"/>
      <c r="EP225" s="1070"/>
      <c r="EQ225" s="1070"/>
    </row>
    <row r="226" spans="2:222" ht="13.5" hidden="1" customHeight="1" outlineLevel="1" x14ac:dyDescent="0.35">
      <c r="B226" s="173" t="s">
        <v>118</v>
      </c>
      <c r="N226" s="218"/>
      <c r="P226" s="216"/>
      <c r="R226" s="217"/>
      <c r="V226" s="251"/>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c r="BM226" s="323"/>
      <c r="BN226" s="323"/>
      <c r="BO226" s="323"/>
      <c r="BP226" s="323"/>
      <c r="BQ226" s="323"/>
      <c r="BR226" s="323"/>
      <c r="BS226" s="323"/>
      <c r="BT226" s="323"/>
      <c r="BU226" s="323"/>
      <c r="BV226" s="323"/>
      <c r="BW226" s="323"/>
      <c r="BX226" s="323"/>
      <c r="BY226" s="323"/>
      <c r="BZ226" s="323"/>
      <c r="CA226" s="323"/>
      <c r="CB226" s="323"/>
      <c r="CC226" s="323"/>
      <c r="CD226" s="323"/>
      <c r="CE226" s="323"/>
      <c r="CF226" s="323"/>
      <c r="CG226" s="323"/>
      <c r="CH226" s="323"/>
      <c r="CI226" s="323"/>
      <c r="CJ226" s="323"/>
      <c r="CK226" s="323"/>
      <c r="CL226" s="323"/>
      <c r="CM226" s="323"/>
      <c r="CN226" s="323"/>
      <c r="CO226" s="323"/>
      <c r="CP226" s="431"/>
      <c r="CQ226" s="432"/>
      <c r="CR226" s="323"/>
      <c r="CS226" s="323"/>
      <c r="CT226" s="323"/>
      <c r="CU226" s="323"/>
      <c r="CV226" s="323"/>
      <c r="CW226" s="323"/>
      <c r="CX226" s="323"/>
      <c r="CY226" s="323"/>
      <c r="CZ226" s="323"/>
      <c r="EK226" s="1070"/>
      <c r="EL226" s="1070"/>
      <c r="EM226" s="1070"/>
      <c r="EN226" s="1070"/>
      <c r="EO226" s="1070"/>
      <c r="EP226" s="1070"/>
      <c r="EQ226" s="1070"/>
    </row>
    <row r="227" spans="2:222" ht="18.649999999999999" customHeight="1" collapsed="1" x14ac:dyDescent="0.35">
      <c r="B227" s="542"/>
      <c r="C227" s="542"/>
      <c r="D227" s="542"/>
      <c r="E227" s="542"/>
      <c r="F227" s="542"/>
      <c r="G227" s="542"/>
      <c r="H227" s="542"/>
      <c r="I227" s="542"/>
      <c r="J227" s="542"/>
      <c r="K227" s="542"/>
      <c r="L227" s="542"/>
      <c r="M227" s="542"/>
      <c r="P227" s="216"/>
      <c r="R227" s="217"/>
      <c r="S227" s="217"/>
      <c r="V227" s="251"/>
      <c r="W227" s="323">
        <f>VLOOKUP(B205&amp;"_"&amp;E205,'LCA data'!$B$7:$X$360,19,FALSE)</f>
        <v>0.19359799999999999</v>
      </c>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c r="BM227" s="323"/>
      <c r="BN227" s="323"/>
      <c r="BO227" s="323"/>
      <c r="BP227" s="323"/>
      <c r="BQ227" s="323"/>
      <c r="BR227" s="323"/>
      <c r="BS227" s="323"/>
      <c r="BT227" s="323"/>
      <c r="BU227" s="323"/>
      <c r="BV227" s="323"/>
      <c r="BW227" s="323"/>
      <c r="BX227" s="323"/>
      <c r="BY227" s="323"/>
      <c r="BZ227" s="323"/>
      <c r="CA227" s="323"/>
      <c r="CB227" s="323"/>
      <c r="CC227" s="323"/>
      <c r="CD227" s="323"/>
      <c r="CE227" s="323"/>
      <c r="CF227" s="323"/>
      <c r="CG227" s="323"/>
      <c r="CH227" s="323"/>
      <c r="CI227" s="323"/>
      <c r="CJ227" s="323"/>
      <c r="CK227" s="323"/>
      <c r="CL227" s="323"/>
      <c r="CM227" s="323"/>
      <c r="CN227" s="323"/>
      <c r="CO227" s="323"/>
      <c r="CP227" s="431"/>
      <c r="CQ227" s="433"/>
      <c r="CR227" s="323"/>
      <c r="CS227" s="323"/>
      <c r="CT227" s="323"/>
      <c r="CU227" s="323"/>
      <c r="CV227" s="323"/>
      <c r="CW227" s="323"/>
      <c r="CX227" s="323"/>
      <c r="CY227" s="323"/>
      <c r="CZ227" s="323"/>
      <c r="EK227" s="1070"/>
      <c r="EL227" s="1070"/>
      <c r="EM227" s="1070"/>
      <c r="EN227" s="1070"/>
      <c r="EO227" s="1070"/>
      <c r="EP227" s="1070"/>
      <c r="EQ227" s="1070"/>
    </row>
    <row r="228" spans="2:222" ht="37.5" hidden="1" customHeight="1" outlineLevel="1" x14ac:dyDescent="0.35">
      <c r="B228" s="493" t="s">
        <v>112</v>
      </c>
      <c r="C228" s="506"/>
      <c r="D228" s="506"/>
      <c r="E228" s="506" t="s">
        <v>36</v>
      </c>
      <c r="F228" s="499"/>
      <c r="G228" s="499"/>
      <c r="H228" s="499"/>
      <c r="I228" s="500" t="str">
        <f>"Terrændæk"&amp;" "&amp;4</f>
        <v>Terrændæk 4</v>
      </c>
      <c r="J228" s="500"/>
      <c r="K228" s="499"/>
      <c r="L228" s="499"/>
      <c r="M228" s="499"/>
      <c r="N228" s="499"/>
      <c r="O228" s="499"/>
      <c r="P228" s="499"/>
      <c r="Q228" s="501"/>
      <c r="R228" s="190"/>
      <c r="S228" s="191"/>
      <c r="V228" s="251"/>
      <c r="W228" s="323">
        <f>IF(D231=$D$82,1,0)</f>
        <v>1</v>
      </c>
      <c r="X228" s="323">
        <f>IF(I231=$D$82,1,0)</f>
        <v>1</v>
      </c>
      <c r="Y228" s="323"/>
      <c r="Z228" s="323"/>
      <c r="AA228" s="323"/>
      <c r="AB228" s="323"/>
      <c r="AC228" s="323"/>
      <c r="AD228" s="323"/>
      <c r="AE228" s="323"/>
      <c r="AF228" s="323"/>
      <c r="AG228" s="323"/>
      <c r="AH228" s="323"/>
      <c r="AI228" s="323"/>
      <c r="AJ228" s="323" t="s">
        <v>746</v>
      </c>
      <c r="AK228" s="323" t="s">
        <v>747</v>
      </c>
      <c r="AL228" s="323"/>
      <c r="AM228" s="323"/>
      <c r="AN228" s="323" t="s">
        <v>846</v>
      </c>
      <c r="AO228" s="323"/>
      <c r="AP228" s="323"/>
      <c r="AQ228" s="323"/>
      <c r="AR228" s="323" t="s">
        <v>851</v>
      </c>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c r="BM228" s="323"/>
      <c r="BN228" s="323"/>
      <c r="BO228" s="323"/>
      <c r="BP228" s="323"/>
      <c r="BQ228" s="323"/>
      <c r="BR228" s="323"/>
      <c r="BS228" s="323"/>
      <c r="BT228" s="323"/>
      <c r="BU228" s="323"/>
      <c r="BV228" s="323"/>
      <c r="BW228" s="323"/>
      <c r="BX228" s="323"/>
      <c r="BY228" s="323"/>
      <c r="BZ228" s="323"/>
      <c r="CA228" s="323"/>
      <c r="CB228" s="323"/>
      <c r="CC228" s="323"/>
      <c r="CD228" s="323"/>
      <c r="CE228" s="323"/>
      <c r="CF228" s="323"/>
      <c r="CG228" s="323"/>
      <c r="CH228" s="323"/>
      <c r="CI228" s="323"/>
      <c r="CJ228" s="323"/>
      <c r="CK228" s="323"/>
      <c r="CL228" s="323"/>
      <c r="CM228" s="323"/>
      <c r="CN228" s="323"/>
      <c r="CO228" s="323"/>
      <c r="CP228" s="431"/>
      <c r="CQ228" s="434"/>
      <c r="CR228" s="323"/>
      <c r="CS228" s="323"/>
      <c r="CT228" s="323"/>
      <c r="CU228" s="323"/>
      <c r="CV228" s="323"/>
      <c r="CW228" s="323"/>
      <c r="CX228" s="323"/>
      <c r="CY228" s="323"/>
      <c r="CZ228" s="323"/>
      <c r="EK228" s="1070"/>
      <c r="EL228" s="1070"/>
      <c r="EM228" s="1070"/>
      <c r="EN228" s="1070"/>
      <c r="EO228" s="1070"/>
      <c r="EP228" s="1070"/>
      <c r="EQ228" s="1070"/>
    </row>
    <row r="229" spans="2:222" ht="40.4" hidden="1" customHeight="1" outlineLevel="1" x14ac:dyDescent="0.35">
      <c r="B229" s="359" t="s">
        <v>78</v>
      </c>
      <c r="C229" s="195" t="s">
        <v>80</v>
      </c>
      <c r="D229" s="910" t="s">
        <v>4</v>
      </c>
      <c r="E229" s="911"/>
      <c r="F229" s="911"/>
      <c r="G229" s="911"/>
      <c r="H229" s="912"/>
      <c r="I229" s="885" t="s">
        <v>5</v>
      </c>
      <c r="J229" s="886"/>
      <c r="K229" s="886"/>
      <c r="L229" s="886"/>
      <c r="M229" s="887"/>
      <c r="N229" s="877" t="s">
        <v>79</v>
      </c>
      <c r="O229" s="877"/>
      <c r="P229" s="877"/>
      <c r="Q229" s="881"/>
      <c r="R229" s="192"/>
      <c r="S229" s="193"/>
      <c r="T229" s="175"/>
      <c r="V229" s="251"/>
      <c r="W229" s="323"/>
      <c r="X229" s="323"/>
      <c r="Y229" s="323"/>
      <c r="Z229" s="323"/>
      <c r="AA229" s="323"/>
      <c r="AB229" s="323"/>
      <c r="AC229" s="323"/>
      <c r="AD229" s="323"/>
      <c r="AE229" s="323"/>
      <c r="AF229" s="323"/>
      <c r="AG229" s="323"/>
      <c r="AH229" s="323"/>
      <c r="AI229" s="323" t="s">
        <v>338</v>
      </c>
      <c r="AJ229" s="323">
        <f>VLOOKUP(E232,Pris.gulv.belægning[],2,0)*C232</f>
        <v>0</v>
      </c>
      <c r="AK229" s="323">
        <f>VLOOKUP(J232,Pris.gulv.belægning[],2,0)*C232</f>
        <v>0</v>
      </c>
      <c r="AL229" s="323"/>
      <c r="AM229" s="323"/>
      <c r="AN229" s="323" t="s">
        <v>4</v>
      </c>
      <c r="AO229" s="323" t="s">
        <v>5</v>
      </c>
      <c r="AP229" s="323"/>
      <c r="AQ229" s="323"/>
      <c r="AR229" s="323" t="s">
        <v>4</v>
      </c>
      <c r="AS229" s="323" t="s">
        <v>5</v>
      </c>
      <c r="AT229" s="323"/>
      <c r="AU229" s="323"/>
      <c r="AV229" s="323"/>
      <c r="AW229" s="323"/>
      <c r="AX229" s="323"/>
      <c r="AY229" s="323"/>
      <c r="AZ229" s="323"/>
      <c r="BA229" s="323"/>
      <c r="BB229" s="323"/>
      <c r="BC229" s="323"/>
      <c r="BD229" s="323"/>
      <c r="BE229" s="323"/>
      <c r="BF229" s="323"/>
      <c r="BG229" s="323"/>
      <c r="BH229" s="323"/>
      <c r="BI229" s="323"/>
      <c r="BJ229" s="323"/>
      <c r="BK229" s="323"/>
      <c r="BL229" s="323"/>
      <c r="BM229" s="323"/>
      <c r="BN229" s="323"/>
      <c r="BO229" s="323"/>
      <c r="BP229" s="323"/>
      <c r="BQ229" s="323"/>
      <c r="BR229" s="323"/>
      <c r="BS229" s="323"/>
      <c r="BT229" s="323"/>
      <c r="BU229" s="323"/>
      <c r="BV229" s="323"/>
      <c r="BW229" s="323"/>
      <c r="BX229" s="323"/>
      <c r="BY229" s="323"/>
      <c r="BZ229" s="323"/>
      <c r="CA229" s="323"/>
      <c r="CB229" s="323"/>
      <c r="CC229" s="323"/>
      <c r="CD229" s="323"/>
      <c r="CE229" s="323"/>
      <c r="CF229" s="323"/>
      <c r="CG229" s="323"/>
      <c r="CH229" s="323"/>
      <c r="CI229" s="323"/>
      <c r="CJ229" s="323"/>
      <c r="CK229" s="323"/>
      <c r="CL229" s="323"/>
      <c r="CM229" s="323"/>
      <c r="CN229" s="323"/>
      <c r="CO229" s="323"/>
      <c r="CP229" s="431"/>
      <c r="CQ229" s="433"/>
      <c r="CR229" s="323"/>
      <c r="CS229" s="323"/>
      <c r="CT229" s="323"/>
      <c r="CU229" s="323"/>
      <c r="CV229" s="323"/>
      <c r="CW229" s="323"/>
      <c r="CX229" s="323"/>
      <c r="CY229" s="323"/>
      <c r="CZ229" s="323"/>
      <c r="EK229" s="1070"/>
      <c r="EL229" s="1070"/>
      <c r="EM229" s="1070"/>
      <c r="EN229" s="1070"/>
      <c r="EO229" s="1070"/>
      <c r="EP229" s="1070"/>
      <c r="EQ229" s="1070"/>
    </row>
    <row r="230" spans="2:222" ht="44.15" hidden="1" customHeight="1" outlineLevel="1" x14ac:dyDescent="0.35">
      <c r="B230" s="194"/>
      <c r="C230" s="665">
        <v>0</v>
      </c>
      <c r="D230" s="908" t="s">
        <v>797</v>
      </c>
      <c r="E230" s="909"/>
      <c r="F230" s="338" t="s">
        <v>82</v>
      </c>
      <c r="G230" s="338" t="s">
        <v>83</v>
      </c>
      <c r="H230" s="346" t="s">
        <v>84</v>
      </c>
      <c r="I230" s="913" t="s">
        <v>797</v>
      </c>
      <c r="J230" s="914"/>
      <c r="K230" s="479" t="s">
        <v>82</v>
      </c>
      <c r="L230" s="479" t="s">
        <v>83</v>
      </c>
      <c r="M230" s="508" t="s">
        <v>84</v>
      </c>
      <c r="N230" s="195" t="s">
        <v>4</v>
      </c>
      <c r="O230" s="195" t="s">
        <v>85</v>
      </c>
      <c r="P230" s="195" t="s">
        <v>5</v>
      </c>
      <c r="Q230" s="357" t="s">
        <v>86</v>
      </c>
      <c r="R230" s="192"/>
      <c r="S230" s="196"/>
      <c r="V230" s="251"/>
      <c r="W230" s="323" t="s">
        <v>87</v>
      </c>
      <c r="X230" s="323" t="s">
        <v>88</v>
      </c>
      <c r="Y230" s="323" t="s">
        <v>89</v>
      </c>
      <c r="Z230" s="323" t="s">
        <v>90</v>
      </c>
      <c r="AA230" s="323" t="s">
        <v>91</v>
      </c>
      <c r="AB230" s="323"/>
      <c r="AC230" s="323"/>
      <c r="AD230" s="323"/>
      <c r="AE230" s="323" t="s">
        <v>92</v>
      </c>
      <c r="AF230" s="323"/>
      <c r="AG230" s="323"/>
      <c r="AH230" s="323"/>
      <c r="AI230" s="323" t="s">
        <v>209</v>
      </c>
      <c r="AJ230" s="323">
        <f>VLOOKUP(E233,Pris.isolering.tag[],2,0)*F233*C233</f>
        <v>0</v>
      </c>
      <c r="AK230" s="323">
        <f>VLOOKUP(J233,Pris.isolering.tag[],2,0)*K233*C233</f>
        <v>0</v>
      </c>
      <c r="AL230" s="323"/>
      <c r="AM230" s="323"/>
      <c r="AN230" s="323">
        <f>SUM(AN232:AN236)</f>
        <v>0</v>
      </c>
      <c r="AO230" s="323">
        <f>SUM(AO232:AO236)</f>
        <v>0</v>
      </c>
      <c r="AP230" s="323"/>
      <c r="AQ230" s="323"/>
      <c r="AR230" s="323">
        <f>SUM(AR232:AR235)</f>
        <v>0</v>
      </c>
      <c r="AS230" s="323">
        <f>SUM(AS232:AS235)</f>
        <v>0</v>
      </c>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c r="BN230" s="323"/>
      <c r="BO230" s="323"/>
      <c r="BP230" s="323"/>
      <c r="BQ230" s="323"/>
      <c r="BR230" s="323"/>
      <c r="BS230" s="323"/>
      <c r="BT230" s="323"/>
      <c r="BU230" s="323"/>
      <c r="BV230" s="323"/>
      <c r="BW230" s="323"/>
      <c r="BX230" s="323"/>
      <c r="BY230" s="323"/>
      <c r="BZ230" s="323"/>
      <c r="CA230" s="323"/>
      <c r="CB230" s="323"/>
      <c r="CC230" s="323"/>
      <c r="CD230" s="323"/>
      <c r="CE230" s="323"/>
      <c r="CF230" s="323"/>
      <c r="CG230" s="323"/>
      <c r="CH230" s="323"/>
      <c r="CI230" s="323"/>
      <c r="CJ230" s="323"/>
      <c r="CK230" s="323"/>
      <c r="CL230" s="323"/>
      <c r="CM230" s="323"/>
      <c r="CN230" s="323"/>
      <c r="CO230" s="323"/>
      <c r="CP230" s="431"/>
      <c r="CQ230" s="433"/>
      <c r="CR230" s="323"/>
      <c r="CS230" s="323"/>
      <c r="CT230" s="323"/>
      <c r="CU230" s="323"/>
      <c r="CV230" s="323"/>
      <c r="CW230" s="323"/>
      <c r="CX230" s="323"/>
      <c r="CY230" s="323"/>
      <c r="CZ230" s="323"/>
      <c r="EK230" s="1070"/>
      <c r="EL230" s="1070"/>
      <c r="EM230" s="1070"/>
      <c r="EN230" s="1070"/>
      <c r="EO230" s="1070"/>
      <c r="EP230" s="1070"/>
      <c r="EQ230" s="1070"/>
    </row>
    <row r="231" spans="2:222" s="198" customFormat="1" ht="26" hidden="1" customHeight="1" outlineLevel="1" x14ac:dyDescent="0.35">
      <c r="B231" s="199"/>
      <c r="C231" s="200" t="s">
        <v>93</v>
      </c>
      <c r="D231" s="915" t="s">
        <v>811</v>
      </c>
      <c r="E231" s="915"/>
      <c r="F231" s="347" t="s">
        <v>94</v>
      </c>
      <c r="G231" s="348" t="s">
        <v>95</v>
      </c>
      <c r="H231" s="349" t="s">
        <v>96</v>
      </c>
      <c r="I231" s="915" t="s">
        <v>811</v>
      </c>
      <c r="J231" s="915"/>
      <c r="K231" s="510" t="s">
        <v>94</v>
      </c>
      <c r="L231" s="511" t="s">
        <v>95</v>
      </c>
      <c r="M231" s="512" t="s">
        <v>96</v>
      </c>
      <c r="N231" s="201" t="s">
        <v>97</v>
      </c>
      <c r="O231" s="201" t="s">
        <v>97</v>
      </c>
      <c r="P231" s="201" t="s">
        <v>97</v>
      </c>
      <c r="Q231" s="358" t="s">
        <v>97</v>
      </c>
      <c r="R231" s="202"/>
      <c r="S231" s="203"/>
      <c r="T231" s="204"/>
      <c r="U231" s="204"/>
      <c r="V231" s="325"/>
      <c r="W231" s="323">
        <f>SUM(W232:W235)</f>
        <v>0</v>
      </c>
      <c r="X231" s="323">
        <f>SUM(X232:X235)</f>
        <v>0</v>
      </c>
      <c r="Y231" s="323"/>
      <c r="Z231" s="323"/>
      <c r="AA231" s="323"/>
      <c r="AB231" s="323" t="s">
        <v>111</v>
      </c>
      <c r="AC231" s="323" t="s">
        <v>98</v>
      </c>
      <c r="AD231" s="323" t="s">
        <v>99</v>
      </c>
      <c r="AE231" s="323" t="s">
        <v>100</v>
      </c>
      <c r="AF231" s="323"/>
      <c r="AG231" s="323"/>
      <c r="AH231" s="323"/>
      <c r="AI231" s="323" t="s">
        <v>36</v>
      </c>
      <c r="AJ231" s="323">
        <f>VLOOKUP(E234,Pris.Terrændæk.konstruktion[],2,0)*F234*C234</f>
        <v>0</v>
      </c>
      <c r="AK231" s="323">
        <f>VLOOKUP(J234,Pris.Terrændæk.konstruktion[],2,0)*K234*C234</f>
        <v>0</v>
      </c>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c r="BN231" s="323"/>
      <c r="BO231" s="323"/>
      <c r="BP231" s="323"/>
      <c r="BQ231" s="323"/>
      <c r="BR231" s="323"/>
      <c r="BS231" s="323"/>
      <c r="BT231" s="323"/>
      <c r="BU231" s="323"/>
      <c r="BV231" s="323"/>
      <c r="BW231" s="323"/>
      <c r="BX231" s="323"/>
      <c r="BY231" s="323"/>
      <c r="BZ231" s="323"/>
      <c r="CA231" s="323"/>
      <c r="CB231" s="323"/>
      <c r="CC231" s="323"/>
      <c r="CD231" s="323"/>
      <c r="CE231" s="323"/>
      <c r="CF231" s="323"/>
      <c r="CG231" s="323"/>
      <c r="CH231" s="323"/>
      <c r="CI231" s="323"/>
      <c r="CJ231" s="323"/>
      <c r="CK231" s="323"/>
      <c r="CL231" s="323"/>
      <c r="CM231" s="323"/>
      <c r="CN231" s="323"/>
      <c r="CO231" s="323"/>
      <c r="CP231" s="435"/>
      <c r="CQ231" s="433"/>
      <c r="CR231" s="323"/>
      <c r="CS231" s="323"/>
      <c r="CT231" s="323"/>
      <c r="CU231" s="323"/>
      <c r="CV231" s="323"/>
      <c r="CW231" s="323"/>
      <c r="CX231" s="323"/>
      <c r="CY231" s="323"/>
      <c r="CZ231" s="323"/>
      <c r="DA231" s="325"/>
      <c r="DB231" s="325"/>
      <c r="DC231" s="325"/>
      <c r="DD231" s="325"/>
      <c r="DE231" s="325"/>
      <c r="DF231" s="325"/>
      <c r="DG231" s="325"/>
      <c r="DH231" s="325"/>
      <c r="DI231" s="325"/>
      <c r="DJ231" s="325"/>
      <c r="DK231" s="325"/>
      <c r="DL231" s="325"/>
      <c r="DM231" s="325"/>
      <c r="DN231" s="325"/>
      <c r="DO231" s="325"/>
      <c r="DP231" s="325"/>
      <c r="DQ231" s="325"/>
      <c r="DR231" s="325"/>
      <c r="DS231" s="325"/>
      <c r="DT231" s="325"/>
      <c r="DU231" s="325"/>
      <c r="DV231" s="325"/>
      <c r="DW231" s="325"/>
      <c r="DX231" s="325"/>
      <c r="DY231" s="325"/>
      <c r="DZ231" s="325"/>
      <c r="EA231" s="325"/>
      <c r="EB231" s="325"/>
      <c r="EC231" s="325"/>
      <c r="ED231" s="325"/>
      <c r="EE231" s="325"/>
      <c r="EF231" s="325"/>
      <c r="EG231" s="325"/>
      <c r="EH231" s="325"/>
      <c r="EI231" s="325"/>
      <c r="EJ231" s="325"/>
      <c r="EK231" s="1072"/>
      <c r="EL231" s="1072"/>
      <c r="EM231" s="1072"/>
      <c r="EN231" s="1072"/>
      <c r="EO231" s="1072"/>
      <c r="EP231" s="1072"/>
      <c r="EQ231" s="1072"/>
      <c r="ER231" s="325"/>
      <c r="ES231" s="325"/>
      <c r="ET231" s="325"/>
      <c r="EU231" s="325"/>
      <c r="EV231" s="325"/>
      <c r="EW231" s="325"/>
      <c r="EX231" s="325"/>
      <c r="EY231" s="325"/>
      <c r="EZ231" s="325"/>
      <c r="FA231" s="325"/>
      <c r="FB231" s="325"/>
      <c r="FC231" s="325"/>
      <c r="FD231" s="325"/>
      <c r="FE231" s="325"/>
      <c r="FF231" s="325"/>
      <c r="FG231" s="325"/>
      <c r="FH231" s="325"/>
      <c r="FI231" s="325"/>
      <c r="FJ231" s="325"/>
      <c r="FK231" s="325"/>
      <c r="FL231" s="325"/>
      <c r="FM231" s="325"/>
      <c r="FN231" s="325"/>
      <c r="FO231" s="325"/>
      <c r="FP231" s="325"/>
      <c r="FQ231" s="325"/>
      <c r="FR231" s="325"/>
      <c r="FS231" s="325"/>
      <c r="FT231" s="325"/>
      <c r="FU231" s="325"/>
      <c r="FV231" s="325"/>
      <c r="FW231" s="325"/>
      <c r="FX231" s="325"/>
      <c r="FY231" s="325"/>
      <c r="FZ231" s="325"/>
      <c r="GA231" s="325"/>
      <c r="GB231" s="325"/>
      <c r="GC231" s="325"/>
      <c r="GD231" s="325"/>
      <c r="GE231" s="325"/>
      <c r="GF231" s="325"/>
      <c r="GG231" s="325"/>
      <c r="GH231" s="325"/>
      <c r="GI231" s="325"/>
      <c r="GJ231" s="325"/>
      <c r="GK231" s="325"/>
      <c r="GL231" s="325"/>
      <c r="GM231" s="325"/>
      <c r="GN231" s="325"/>
      <c r="GO231" s="325"/>
      <c r="GP231" s="325"/>
      <c r="GQ231" s="325"/>
      <c r="GR231" s="325"/>
      <c r="GS231" s="325"/>
      <c r="GT231" s="325"/>
      <c r="GU231" s="325"/>
      <c r="GV231" s="325"/>
      <c r="GW231" s="325"/>
      <c r="GX231" s="325"/>
      <c r="GY231" s="325"/>
      <c r="GZ231" s="325"/>
      <c r="HA231" s="325"/>
      <c r="HB231" s="325"/>
      <c r="HC231" s="325"/>
      <c r="HD231" s="325"/>
      <c r="HE231" s="325"/>
      <c r="HF231" s="325"/>
      <c r="HG231" s="325"/>
      <c r="HH231" s="325"/>
      <c r="HI231" s="325"/>
      <c r="HJ231" s="325"/>
      <c r="HK231" s="325"/>
      <c r="HL231" s="325"/>
      <c r="HM231" s="325"/>
      <c r="HN231" s="325"/>
    </row>
    <row r="232" spans="2:222" ht="40.4" hidden="1" customHeight="1" outlineLevel="1" thickBot="1" x14ac:dyDescent="0.4">
      <c r="B232" s="363" t="str">
        <f>'LCA data'!$B$149</f>
        <v>Gulvoverflade</v>
      </c>
      <c r="C232" s="469">
        <f>$C$230*$C$43</f>
        <v>0</v>
      </c>
      <c r="D232" s="15" t="s">
        <v>103</v>
      </c>
      <c r="E232" s="342" t="str">
        <f>IF($D$231=$D$82,D232,VLOOKUP(B232,Auto_Terrændæk[],VLOOKUP($D$231,Type_Tung_Middel_Let[],2,0),0))</f>
        <v>Angiv ikke</v>
      </c>
      <c r="F232" s="356">
        <f>(VLOOKUP(E232,Pris.gulv.belægning[],4,0))/1000</f>
        <v>0</v>
      </c>
      <c r="G232" s="350"/>
      <c r="H232" s="351" t="str">
        <f>IFERROR(IF(VLOOKUP(B232&amp;"_"&amp;E232,'LCA data'!$B$7:$X$200,2,FALSE)&lt;$Y$24,1,0)+IF(VLOOKUP(B232&amp;"_"&amp;E232,'LCA data'!$B$7:$X$200,2,FALSE)*2&lt;$Y$24,1,0),"")</f>
        <v/>
      </c>
      <c r="I232" s="15" t="s">
        <v>103</v>
      </c>
      <c r="J232" s="342" t="str">
        <f>IF($I$231=$D$82,I232,VLOOKUP(B232,Auto_Terrændæk[],VLOOKUP($I$231,Type_Tung_Middel_Let[],2,0),0))</f>
        <v>Angiv ikke</v>
      </c>
      <c r="K232" s="513">
        <f>(VLOOKUP(J232,Pris.gulv.belægning[],4,0))/1000</f>
        <v>0</v>
      </c>
      <c r="L232" s="514"/>
      <c r="M232" s="515" t="str">
        <f>IFERROR(IF(VLOOKUP(B232&amp;"_"&amp;J232,'LCA data'!$B$7:$X$200,2,FALSE)&lt;$Y$24,1,0)+IF(VLOOKUP(B232&amp;"_"&amp;J232,'LCA data'!$B$7:$X$200,2,FALSE)*2&lt;$Y$24,1,0),"")</f>
        <v/>
      </c>
      <c r="N232" s="364">
        <f>W232/1000</f>
        <v>0</v>
      </c>
      <c r="O232" s="880">
        <f>SUM(N232:N236)</f>
        <v>0</v>
      </c>
      <c r="P232" s="365">
        <f>X232/1000</f>
        <v>0</v>
      </c>
      <c r="Q232" s="888">
        <f>SUM(P232:P236)</f>
        <v>0</v>
      </c>
      <c r="R232" s="192"/>
      <c r="S232" s="196"/>
      <c r="V232" s="251"/>
      <c r="W232" s="323">
        <f>IF(E232="Angiv ikke",0,((1+H232)*VLOOKUP(B232&amp;"_"&amp;E232,'LCA data'!$B$7:$X$360,19,FALSE)*(F232*10^3)*C232))</f>
        <v>0</v>
      </c>
      <c r="X232" s="323">
        <f>IF(J232="Angiv ikke",0,((1+M232)*VLOOKUP(B232&amp;"_"&amp;J232,'LCA data'!$B$7:$X$360,19,FALSE)*(K232*10^3)*C232))</f>
        <v>0</v>
      </c>
      <c r="Y232" s="323"/>
      <c r="Z232" s="323"/>
      <c r="AA232" s="323" t="s">
        <v>4</v>
      </c>
      <c r="AB232" s="323">
        <f>AF232/$J$21/$Y$24*1000</f>
        <v>0</v>
      </c>
      <c r="AC232" s="323">
        <f>Varmetab!H80</f>
        <v>0</v>
      </c>
      <c r="AD232" s="323">
        <f>AB232+AC232</f>
        <v>0</v>
      </c>
      <c r="AE232" s="323" t="s">
        <v>4</v>
      </c>
      <c r="AF232" s="323">
        <f>W231/1000</f>
        <v>0</v>
      </c>
      <c r="AG232" s="323"/>
      <c r="AH232" s="323"/>
      <c r="AI232" s="323" t="s">
        <v>800</v>
      </c>
      <c r="AJ232" s="323">
        <f>VLOOKUP(E235,Pris.kapillarbryddende.lag[],2,0)*F235*C235</f>
        <v>0</v>
      </c>
      <c r="AK232" s="323">
        <f>VLOOKUP(J235,Pris.kapillarbryddende.lag[],2,0)*K235*C235</f>
        <v>0</v>
      </c>
      <c r="AL232" s="323"/>
      <c r="AM232" s="323"/>
      <c r="AN232" s="323">
        <f>IF(E232="Angiv ikke",0,((1+H232)*VLOOKUP(B232&amp;"_"&amp;E232,'LCA data'!$B$7:$X$360,20,FALSE)*(F232*10^3)*C232))</f>
        <v>0</v>
      </c>
      <c r="AO232" s="323">
        <f>IF(J232="Angiv ikke",0,((1+M232)*VLOOKUP(B232&amp;"_"&amp;J232,'LCA data'!$B$7:$X$360,20,FALSE)*(K232*10^3)*C232))</f>
        <v>0</v>
      </c>
      <c r="AP232" s="323"/>
      <c r="AQ232" s="323"/>
      <c r="AR232" s="323">
        <f>IF(E232="Angiv ikke",0,((1+H232)*VLOOKUP(B232&amp;"_"&amp;E232,'LCA data'!$B$7:$AA$360,26,FALSE)*(F232*10^3)*C232))</f>
        <v>0</v>
      </c>
      <c r="AS232" s="323">
        <f>IF(J232="Angiv ikke",0,((1+M232)*VLOOKUP(B232&amp;"_"&amp;J232,'LCA data'!$B$7:$AA$360,26,FALSE)*(K232*10^3)*C232))</f>
        <v>0</v>
      </c>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442"/>
      <c r="CQ232" s="438"/>
      <c r="CR232" s="323"/>
      <c r="CS232" s="323"/>
      <c r="CT232" s="323"/>
      <c r="CU232" s="323"/>
      <c r="CV232" s="323"/>
      <c r="CW232" s="323"/>
      <c r="CX232" s="323"/>
      <c r="CY232" s="323"/>
      <c r="CZ232" s="323"/>
      <c r="EK232" s="1070"/>
      <c r="EL232" s="1070"/>
      <c r="EM232" s="1070"/>
      <c r="EN232" s="1070"/>
      <c r="EO232" s="1070"/>
      <c r="EP232" s="1070"/>
      <c r="EQ232" s="1070"/>
    </row>
    <row r="233" spans="2:222" ht="40.4" hidden="1" customHeight="1" outlineLevel="1" x14ac:dyDescent="0.35">
      <c r="B233" s="208" t="str">
        <f>'LCA data'!B$32</f>
        <v>Isolering</v>
      </c>
      <c r="C233" s="469">
        <f t="shared" ref="C233:C235" si="20">$C$230*$C$43</f>
        <v>0</v>
      </c>
      <c r="D233" s="168" t="s">
        <v>103</v>
      </c>
      <c r="E233" s="342" t="str">
        <f>IF($D$231=$D$82,D233,VLOOKUP(B233,Auto_Terrændæk[],VLOOKUP($D$231,Type_Tung_Middel_Let[],2,0),0))</f>
        <v>Angiv ikke</v>
      </c>
      <c r="F233" s="11">
        <v>0.4</v>
      </c>
      <c r="G233" s="473" t="str">
        <f>VLOOKUP(E233,Isoleringsmateriale[],2,0)</f>
        <v>?</v>
      </c>
      <c r="H233" s="351" t="str">
        <f>IFERROR(IF(VLOOKUP(B233&amp;"_"&amp;E233,'LCA data'!$B$7:$X$200,2,FALSE)&lt;$Y$24,1,0)+IF(VLOOKUP(B233&amp;"_"&amp;E233,'LCA data'!$B$7:$X$200,2,FALSE)*2&lt;$Y$24,1,0),"")</f>
        <v/>
      </c>
      <c r="I233" s="168" t="s">
        <v>103</v>
      </c>
      <c r="J233" s="342" t="str">
        <f>IF($I$231=$D$82,I233,VLOOKUP(B233,Auto_Terrændæk[],VLOOKUP($I$231,Type_Tung_Middel_Let[],2,0),0))</f>
        <v>Angiv ikke</v>
      </c>
      <c r="K233" s="11">
        <v>0.4</v>
      </c>
      <c r="L233" s="473" t="str">
        <f>VLOOKUP(J233,Isoleringsmateriale[],2,0)</f>
        <v>?</v>
      </c>
      <c r="M233" s="515" t="str">
        <f>IFERROR(IF(VLOOKUP(B233&amp;"_"&amp;J233,'LCA data'!$B$7:$X$200,2,FALSE)&lt;$Y$24,1,0)+IF(VLOOKUP(B233&amp;"_"&amp;J233,'LCA data'!$B$7:$X$200,2,FALSE)*2&lt;$Y$24,1,0),"")</f>
        <v/>
      </c>
      <c r="N233" s="206">
        <f>W233/1000</f>
        <v>0</v>
      </c>
      <c r="O233" s="878"/>
      <c r="P233" s="207">
        <f>X233/1000</f>
        <v>0</v>
      </c>
      <c r="Q233" s="889"/>
      <c r="R233" s="192"/>
      <c r="S233" s="196"/>
      <c r="V233" s="251"/>
      <c r="W233" s="323">
        <f>IF(E233="Angiv ikke",0,((1+H233)*VLOOKUP(B233&amp;"_"&amp;E233,'LCA data'!$B$7:$X$360,19,FALSE)*(F233*10^3)*C233))</f>
        <v>0</v>
      </c>
      <c r="X233" s="323">
        <f>IF(J233="Angiv ikke",0,((1+M233)*VLOOKUP(B233&amp;"_"&amp;J233,'LCA data'!$B$7:$X$360,19,FALSE)*(K233*10^3)*C233))</f>
        <v>0</v>
      </c>
      <c r="Y233" s="323">
        <f>IF(G233="_",0,AC232*$J$21*$Y$24)</f>
        <v>0</v>
      </c>
      <c r="Z233" s="323">
        <f>IF(L233="_",0,AC233*$J$21*$Y$24)</f>
        <v>0</v>
      </c>
      <c r="AA233" s="323" t="s">
        <v>5</v>
      </c>
      <c r="AB233" s="323">
        <f>AG233/$J$21/$Y$24*1000</f>
        <v>0</v>
      </c>
      <c r="AC233" s="323">
        <f>Varmetab!I80</f>
        <v>0</v>
      </c>
      <c r="AD233" s="323">
        <f>AB233+AC233</f>
        <v>0</v>
      </c>
      <c r="AE233" s="323" t="s">
        <v>5</v>
      </c>
      <c r="AF233" s="323"/>
      <c r="AG233" s="323">
        <f>X231/1000</f>
        <v>0</v>
      </c>
      <c r="AH233" s="323"/>
      <c r="AI233" s="323" t="s">
        <v>743</v>
      </c>
      <c r="AJ233" s="323">
        <f>SUM(AJ229:AJ232)</f>
        <v>0</v>
      </c>
      <c r="AK233" s="323">
        <f>SUM(AK229:AK232)</f>
        <v>0</v>
      </c>
      <c r="AL233" s="323"/>
      <c r="AM233" s="323"/>
      <c r="AN233" s="323">
        <f>IF(E233="Angiv ikke",0,((1+H233)*VLOOKUP(B233&amp;"_"&amp;E233,'LCA data'!$B$7:$X$360,20,FALSE)*(F233*10^3)*C233))</f>
        <v>0</v>
      </c>
      <c r="AO233" s="323">
        <f>IF(J233="Angiv ikke",0,((1+M233)*VLOOKUP(B233&amp;"_"&amp;J233,'LCA data'!$B$7:$X$360,20,FALSE)*(K233*10^3)*C233))</f>
        <v>0</v>
      </c>
      <c r="AP233" s="323"/>
      <c r="AQ233" s="323"/>
      <c r="AR233" s="323">
        <f>IF(E233="Angiv ikke",0,((1+H233)*VLOOKUP(B233&amp;"_"&amp;E233,'LCA data'!$B$7:$AA$360,26,FALSE)*(F233*10^3)*C233))</f>
        <v>0</v>
      </c>
      <c r="AS233" s="323">
        <f>IF(J233="Angiv ikke",0,((1+M233)*VLOOKUP(B233&amp;"_"&amp;J233,'LCA data'!$B$7:$AA$360,26,FALSE)*(K233*10^3)*C233))</f>
        <v>0</v>
      </c>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c r="BN233" s="323"/>
      <c r="BO233" s="323"/>
      <c r="BP233" s="323"/>
      <c r="BQ233" s="323"/>
      <c r="BR233" s="323"/>
      <c r="BS233" s="323"/>
      <c r="BT233" s="323"/>
      <c r="BU233" s="323"/>
      <c r="BV233" s="323"/>
      <c r="BW233" s="323"/>
      <c r="BX233" s="323"/>
      <c r="BY233" s="323"/>
      <c r="BZ233" s="323"/>
      <c r="CA233" s="323"/>
      <c r="CB233" s="323"/>
      <c r="CC233" s="323"/>
      <c r="CD233" s="323"/>
      <c r="CE233" s="323"/>
      <c r="CF233" s="323"/>
      <c r="CG233" s="323"/>
      <c r="CH233" s="323"/>
      <c r="CI233" s="323"/>
      <c r="CJ233" s="323"/>
      <c r="CK233" s="323"/>
      <c r="CL233" s="323"/>
      <c r="CM233" s="323"/>
      <c r="CN233" s="323"/>
      <c r="CO233" s="323"/>
      <c r="CP233" s="439"/>
      <c r="CQ233" s="440"/>
      <c r="CR233" s="323"/>
      <c r="CS233" s="323"/>
      <c r="CT233" s="323"/>
      <c r="CU233" s="323"/>
      <c r="CV233" s="323"/>
      <c r="CW233" s="323"/>
      <c r="CX233" s="323"/>
      <c r="CY233" s="323"/>
      <c r="CZ233" s="323"/>
      <c r="EK233" s="1070"/>
      <c r="EL233" s="1070"/>
      <c r="EM233" s="1070"/>
      <c r="EN233" s="1070"/>
      <c r="EO233" s="1070"/>
      <c r="EP233" s="1070"/>
      <c r="EQ233" s="1070"/>
    </row>
    <row r="234" spans="2:222" ht="40.4" hidden="1" customHeight="1" outlineLevel="1" thickBot="1" x14ac:dyDescent="0.4">
      <c r="B234" s="205" t="str">
        <f>'LCA data'!$B$119</f>
        <v>Terrændæk</v>
      </c>
      <c r="C234" s="469">
        <f t="shared" si="20"/>
        <v>0</v>
      </c>
      <c r="D234" s="169" t="s">
        <v>103</v>
      </c>
      <c r="E234" s="342" t="str">
        <f>IF($D$231=$D$82,D234,VLOOKUP(B234,Auto_Terrændæk[],VLOOKUP($D$231,Type_Tung_Middel_Let[],2,0),0))</f>
        <v>Angiv ikke</v>
      </c>
      <c r="F234" s="172">
        <f>VLOOKUP(E234,Pris.Terrændæk.konstruktion[],4,0)/1000</f>
        <v>0</v>
      </c>
      <c r="G234" s="350"/>
      <c r="H234" s="351" t="str">
        <f>IFERROR(IF(VLOOKUP(B234&amp;"_"&amp;E234,'LCA data'!$B$7:$X$200,2,FALSE)&lt;$Y$24,1,0)+IF(VLOOKUP(B234&amp;"_"&amp;E234,'LCA data'!$B$7:$X$200,2,FALSE)*2&lt;$Y$24,1,0),"")</f>
        <v/>
      </c>
      <c r="I234" s="169" t="s">
        <v>103</v>
      </c>
      <c r="J234" s="342" t="str">
        <f>IF($I$231=$D$82,I234,VLOOKUP(B234,Auto_Terrændæk[],VLOOKUP($I$231,Type_Tung_Middel_Let[],2,0),0))</f>
        <v>Angiv ikke</v>
      </c>
      <c r="K234" s="172">
        <f>VLOOKUP(J234,Pris.Terrændæk.konstruktion[],4,0)/1000</f>
        <v>0</v>
      </c>
      <c r="L234" s="514"/>
      <c r="M234" s="515" t="str">
        <f>IFERROR(IF(VLOOKUP(B234&amp;"_"&amp;J234,'LCA data'!$B$7:$X$200,2,FALSE)&lt;$Y$24,1,0)+IF(VLOOKUP(B234&amp;"_"&amp;J234,'LCA data'!$B$7:$X$200,2,FALSE)*2&lt;$Y$24,1,0),"")</f>
        <v/>
      </c>
      <c r="N234" s="206">
        <f>W234/1000</f>
        <v>0</v>
      </c>
      <c r="O234" s="878"/>
      <c r="P234" s="207">
        <f>X234/1000</f>
        <v>0</v>
      </c>
      <c r="Q234" s="889"/>
      <c r="R234" s="192"/>
      <c r="S234" s="196"/>
      <c r="V234" s="251"/>
      <c r="W234" s="323">
        <f>IF(E234="Angiv ikke",0,((1+H234)*VLOOKUP(B234&amp;"_"&amp;E234,'LCA data'!$B$7:$X$360,19,FALSE)*(F234*10^3)*C234))</f>
        <v>0</v>
      </c>
      <c r="X234" s="323">
        <f>IF(J234="Angiv ikke",0,((1+M234)*VLOOKUP(B234&amp;"_"&amp;J234,'LCA data'!$B$7:$X$360,19,FALSE)*(K234*10^3)*C234))</f>
        <v>0</v>
      </c>
      <c r="Y234" s="323"/>
      <c r="Z234" s="323"/>
      <c r="AA234" s="323"/>
      <c r="AB234" s="323"/>
      <c r="AC234" s="323"/>
      <c r="AD234" s="323"/>
      <c r="AE234" s="323"/>
      <c r="AF234" s="323"/>
      <c r="AG234" s="323"/>
      <c r="AH234" s="323"/>
      <c r="AI234" s="323"/>
      <c r="AJ234" s="323"/>
      <c r="AK234" s="323"/>
      <c r="AL234" s="323"/>
      <c r="AM234" s="323"/>
      <c r="AN234" s="323">
        <f>IF(E234="Angiv ikke",0,((1+H234)*VLOOKUP(B234&amp;"_"&amp;E234,'LCA data'!$B$7:$X$360,20,FALSE)*(F234*10^3)*C234))</f>
        <v>0</v>
      </c>
      <c r="AO234" s="323">
        <f>IF(J234="Angiv ikke",0,((1+M234)*VLOOKUP(B234&amp;"_"&amp;J234,'LCA data'!$B$7:$X$360,20,FALSE)*(K234*10^3)*C234))</f>
        <v>0</v>
      </c>
      <c r="AP234" s="323"/>
      <c r="AQ234" s="323"/>
      <c r="AR234" s="323">
        <f>IF(E234="Angiv ikke",0,((1+H234)*VLOOKUP(B234&amp;"_"&amp;E234,'LCA data'!$B$7:$AA$360,26,FALSE)*(F234*10^3)*C234))</f>
        <v>0</v>
      </c>
      <c r="AS234" s="323">
        <f>IF(J234="Angiv ikke",0,((1+M234)*VLOOKUP(B234&amp;"_"&amp;J234,'LCA data'!$B$7:$AA$360,26,FALSE)*(K234*10^3)*C234))</f>
        <v>0</v>
      </c>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c r="BN234" s="323"/>
      <c r="BO234" s="323"/>
      <c r="BP234" s="323"/>
      <c r="BQ234" s="323"/>
      <c r="BR234" s="323"/>
      <c r="BS234" s="323"/>
      <c r="BT234" s="323"/>
      <c r="BU234" s="323"/>
      <c r="BV234" s="323"/>
      <c r="BW234" s="323"/>
      <c r="BX234" s="323"/>
      <c r="BY234" s="323"/>
      <c r="BZ234" s="323"/>
      <c r="CA234" s="323"/>
      <c r="CB234" s="323"/>
      <c r="CC234" s="323"/>
      <c r="CD234" s="323"/>
      <c r="CE234" s="323"/>
      <c r="CF234" s="323"/>
      <c r="CG234" s="323"/>
      <c r="CH234" s="323"/>
      <c r="CI234" s="323"/>
      <c r="CJ234" s="323"/>
      <c r="CK234" s="323"/>
      <c r="CL234" s="323"/>
      <c r="CM234" s="323"/>
      <c r="CN234" s="323"/>
      <c r="CO234" s="323"/>
      <c r="CP234" s="428"/>
      <c r="CQ234" s="440"/>
      <c r="CR234" s="323"/>
      <c r="CS234" s="323"/>
      <c r="CT234" s="323"/>
      <c r="CU234" s="323"/>
      <c r="CV234" s="323"/>
      <c r="CW234" s="323"/>
      <c r="CX234" s="323"/>
      <c r="CY234" s="323"/>
      <c r="CZ234" s="323"/>
      <c r="EK234" s="1070"/>
      <c r="EL234" s="1070"/>
      <c r="EM234" s="1070"/>
      <c r="EN234" s="1070"/>
      <c r="EO234" s="1070"/>
      <c r="EP234" s="1070"/>
      <c r="EQ234" s="1070"/>
    </row>
    <row r="235" spans="2:222" ht="40.4" hidden="1" customHeight="1" outlineLevel="1" thickBot="1" x14ac:dyDescent="0.4">
      <c r="B235" s="209" t="str">
        <f>'LCA data'!$B$129</f>
        <v>Kapillarbrydende lag</v>
      </c>
      <c r="C235" s="667">
        <f t="shared" si="20"/>
        <v>0</v>
      </c>
      <c r="D235" s="171" t="s">
        <v>103</v>
      </c>
      <c r="E235" s="382" t="str">
        <f>IF($D$231=$D$82,D235,VLOOKUP(B235,Auto_Terrændæk[],VLOOKUP($D$231,Type_Tung_Middel_Let[],2,0),0))</f>
        <v>Angiv ikke</v>
      </c>
      <c r="F235" s="461">
        <f>(VLOOKUP(E235,Pris.kapillarbryddende.lag[],4,0))/1000</f>
        <v>0</v>
      </c>
      <c r="G235" s="354"/>
      <c r="H235" s="355" t="str">
        <f>IFERROR(IF(VLOOKUP(B235&amp;"_"&amp;E235,'LCA data'!$B$7:$X$200,2,FALSE)&lt;$Y$24,1,0)+IF(VLOOKUP(B235&amp;"_"&amp;E235,'LCA data'!$B$7:$X$200,2,FALSE)*2&lt;$Y$24,1,0),"")</f>
        <v/>
      </c>
      <c r="I235" s="171" t="s">
        <v>103</v>
      </c>
      <c r="J235" s="382" t="str">
        <f>IF($I$231=$D$82,I235,VLOOKUP(B235,Auto_Terrændæk[],VLOOKUP($I$231,Type_Tung_Middel_Let[],2,0),0))</f>
        <v>Angiv ikke</v>
      </c>
      <c r="K235" s="461">
        <f>(VLOOKUP(J235,Pris.kapillarbryddende.lag[],4,0))/1000</f>
        <v>0</v>
      </c>
      <c r="L235" s="519"/>
      <c r="M235" s="520" t="str">
        <f>IFERROR(IF(VLOOKUP(B235&amp;"_"&amp;J235,'LCA data'!$B$7:$X$200,2,FALSE)&lt;$Y$24,1,0)+IF(VLOOKUP(B235&amp;"_"&amp;J235,'LCA data'!$B$7:$X$200,2,FALSE)*2&lt;$Y$24,1,0),"")</f>
        <v/>
      </c>
      <c r="N235" s="210">
        <f>W235/1000</f>
        <v>0</v>
      </c>
      <c r="O235" s="879"/>
      <c r="P235" s="211">
        <f>X235/1000</f>
        <v>0</v>
      </c>
      <c r="Q235" s="890"/>
      <c r="R235" s="212"/>
      <c r="S235" s="213"/>
      <c r="V235" s="251"/>
      <c r="W235" s="323">
        <f>IF(E235="Angiv ikke",0,((1+H235)*VLOOKUP(B235&amp;"_"&amp;E235,'LCA data'!$B$7:$X$360,19,FALSE)*(F235*10^3)*C235))</f>
        <v>0</v>
      </c>
      <c r="X235" s="323">
        <f>IF(J235="Angiv ikke",0,((1+M235)*VLOOKUP(B235&amp;"_"&amp;J235,'LCA data'!$B$7:$X$360,19,FALSE)*(K235*10^3)*C235))</f>
        <v>0</v>
      </c>
      <c r="Y235" s="323"/>
      <c r="Z235" s="323"/>
      <c r="AA235" s="323"/>
      <c r="AB235" s="323"/>
      <c r="AC235" s="323"/>
      <c r="AD235" s="323"/>
      <c r="AE235" s="323"/>
      <c r="AF235" s="323"/>
      <c r="AG235" s="323"/>
      <c r="AH235" s="323"/>
      <c r="AI235" s="323"/>
      <c r="AJ235" s="323"/>
      <c r="AK235" s="323"/>
      <c r="AL235" s="323"/>
      <c r="AM235" s="323"/>
      <c r="AN235" s="323">
        <f>IF(E235="Angiv ikke",0,((1+H235)*VLOOKUP(B235&amp;"_"&amp;E235,'LCA data'!$B$7:$X$360,20,FALSE)*(F235*10^3)*C235))</f>
        <v>0</v>
      </c>
      <c r="AO235" s="323">
        <f>IF(J235="Angiv ikke",0,((1+M235)*VLOOKUP(B235&amp;"_"&amp;J235,'LCA data'!$B$7:$X$360,20,FALSE)*(K235*10^3)*C235))</f>
        <v>0</v>
      </c>
      <c r="AP235" s="323"/>
      <c r="AQ235" s="323"/>
      <c r="AR235" s="323">
        <f>IF(E235="Angiv ikke",0,((1+H235)*VLOOKUP(B235&amp;"_"&amp;E235,'LCA data'!$B$7:$AA$360,26,FALSE)*(F235*10^3)*C235))</f>
        <v>0</v>
      </c>
      <c r="AS235" s="323">
        <f>IF(J235="Angiv ikke",0,((1+M235)*VLOOKUP(B235&amp;"_"&amp;J235,'LCA data'!$B$7:$AA$360,26,FALSE)*(K235*10^3)*C235))</f>
        <v>0</v>
      </c>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323"/>
      <c r="CE235" s="323"/>
      <c r="CF235" s="323"/>
      <c r="CG235" s="323"/>
      <c r="CH235" s="323"/>
      <c r="CI235" s="323"/>
      <c r="CJ235" s="323"/>
      <c r="CK235" s="323"/>
      <c r="CL235" s="323"/>
      <c r="CM235" s="323"/>
      <c r="CN235" s="323"/>
      <c r="CO235" s="323"/>
      <c r="CP235" s="1144" t="s">
        <v>77</v>
      </c>
      <c r="CQ235" s="1145"/>
      <c r="CR235" s="323"/>
      <c r="CS235" s="323"/>
      <c r="CT235" s="323"/>
      <c r="CU235" s="323"/>
      <c r="CV235" s="323"/>
      <c r="CW235" s="323"/>
      <c r="CX235" s="323"/>
      <c r="CY235" s="323"/>
      <c r="CZ235" s="323"/>
      <c r="EK235" s="1070"/>
      <c r="EL235" s="1070"/>
      <c r="EM235" s="1070"/>
      <c r="EN235" s="1070"/>
      <c r="EO235" s="1070"/>
      <c r="EP235" s="1070"/>
      <c r="EQ235" s="1070"/>
    </row>
    <row r="236" spans="2:222" ht="13.5" hidden="1" customHeight="1" outlineLevel="1" x14ac:dyDescent="0.35">
      <c r="B236" s="173" t="s">
        <v>118</v>
      </c>
      <c r="N236" s="218"/>
      <c r="P236" s="216"/>
      <c r="R236" s="217"/>
      <c r="V236" s="251"/>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c r="BN236" s="323"/>
      <c r="BO236" s="323"/>
      <c r="BP236" s="323"/>
      <c r="BQ236" s="323"/>
      <c r="BR236" s="323"/>
      <c r="BS236" s="323"/>
      <c r="BT236" s="323"/>
      <c r="BU236" s="323"/>
      <c r="BV236" s="323"/>
      <c r="BW236" s="323"/>
      <c r="BX236" s="323"/>
      <c r="BY236" s="323"/>
      <c r="BZ236" s="323"/>
      <c r="CA236" s="323"/>
      <c r="CB236" s="323"/>
      <c r="CC236" s="323"/>
      <c r="CD236" s="323"/>
      <c r="CE236" s="323"/>
      <c r="CF236" s="323"/>
      <c r="CG236" s="323"/>
      <c r="CH236" s="323"/>
      <c r="CI236" s="323"/>
      <c r="CJ236" s="323"/>
      <c r="CK236" s="323"/>
      <c r="CL236" s="323"/>
      <c r="CM236" s="323"/>
      <c r="CN236" s="323"/>
      <c r="CO236" s="323"/>
      <c r="CP236" s="431"/>
      <c r="CQ236" s="432"/>
      <c r="CR236" s="323"/>
      <c r="CS236" s="323"/>
      <c r="CT236" s="323"/>
      <c r="CU236" s="323"/>
      <c r="CV236" s="323"/>
      <c r="CW236" s="323"/>
      <c r="CX236" s="323"/>
      <c r="CY236" s="323"/>
      <c r="CZ236" s="323"/>
      <c r="EK236" s="1070"/>
      <c r="EL236" s="1070"/>
      <c r="EM236" s="1070"/>
      <c r="EN236" s="1070"/>
      <c r="EO236" s="1070"/>
      <c r="EP236" s="1070"/>
      <c r="EQ236" s="1070"/>
    </row>
    <row r="237" spans="2:222" ht="18.649999999999999" customHeight="1" collapsed="1" x14ac:dyDescent="0.35">
      <c r="B237" s="542"/>
      <c r="C237" s="542"/>
      <c r="D237" s="542"/>
      <c r="E237" s="542"/>
      <c r="F237" s="542"/>
      <c r="G237" s="542"/>
      <c r="H237" s="542"/>
      <c r="I237" s="542"/>
      <c r="J237" s="542"/>
      <c r="K237" s="542"/>
      <c r="L237" s="542"/>
      <c r="M237" s="542"/>
      <c r="R237" s="217"/>
      <c r="S237" s="217"/>
      <c r="V237" s="251"/>
      <c r="W237" s="323">
        <f>VLOOKUP(B205,'LCA data'!$B$7:$X$360,19,0)</f>
        <v>1</v>
      </c>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c r="BN237" s="323"/>
      <c r="BO237" s="323"/>
      <c r="BP237" s="323"/>
      <c r="BQ237" s="323"/>
      <c r="BR237" s="323"/>
      <c r="BS237" s="323"/>
      <c r="BT237" s="323"/>
      <c r="BU237" s="323"/>
      <c r="BV237" s="323"/>
      <c r="BW237" s="323"/>
      <c r="BX237" s="323"/>
      <c r="BY237" s="323"/>
      <c r="BZ237" s="323"/>
      <c r="CA237" s="323"/>
      <c r="CB237" s="323"/>
      <c r="CC237" s="323"/>
      <c r="CD237" s="323"/>
      <c r="CE237" s="323"/>
      <c r="CF237" s="323"/>
      <c r="CG237" s="323"/>
      <c r="CH237" s="323"/>
      <c r="CI237" s="323"/>
      <c r="CJ237" s="323"/>
      <c r="CK237" s="323"/>
      <c r="CL237" s="323"/>
      <c r="CM237" s="323"/>
      <c r="CN237" s="323"/>
      <c r="CO237" s="323"/>
      <c r="CP237" s="431"/>
      <c r="CQ237" s="433"/>
      <c r="CR237" s="323"/>
      <c r="CS237" s="323"/>
      <c r="CT237" s="323"/>
      <c r="CU237" s="323"/>
      <c r="CV237" s="323"/>
      <c r="CW237" s="323"/>
      <c r="CX237" s="323"/>
      <c r="CY237" s="323"/>
      <c r="CZ237" s="323"/>
      <c r="EK237" s="1070"/>
      <c r="EL237" s="1070"/>
      <c r="EM237" s="1070"/>
      <c r="EN237" s="1070"/>
      <c r="EO237" s="1070"/>
      <c r="EP237" s="1070"/>
      <c r="EQ237" s="1070"/>
    </row>
    <row r="238" spans="2:222" ht="37.5" hidden="1" customHeight="1" outlineLevel="1" x14ac:dyDescent="0.35">
      <c r="B238" s="493" t="s">
        <v>112</v>
      </c>
      <c r="C238" s="506"/>
      <c r="D238" s="506"/>
      <c r="E238" s="506" t="s">
        <v>36</v>
      </c>
      <c r="F238" s="499"/>
      <c r="G238" s="499"/>
      <c r="H238" s="499"/>
      <c r="I238" s="500" t="str">
        <f>"Terrændæk"&amp;" "&amp;5</f>
        <v>Terrændæk 5</v>
      </c>
      <c r="J238" s="500"/>
      <c r="K238" s="499"/>
      <c r="L238" s="499"/>
      <c r="M238" s="499"/>
      <c r="N238" s="499"/>
      <c r="O238" s="499"/>
      <c r="P238" s="499"/>
      <c r="Q238" s="501"/>
      <c r="R238" s="190"/>
      <c r="S238" s="191"/>
      <c r="V238" s="251"/>
      <c r="W238" s="323">
        <f>IF(D241=$D$82,1,0)</f>
        <v>1</v>
      </c>
      <c r="X238" s="323">
        <f>IF(I241=$D$82,1,0)</f>
        <v>1</v>
      </c>
      <c r="Y238" s="323"/>
      <c r="Z238" s="323"/>
      <c r="AA238" s="323"/>
      <c r="AB238" s="323"/>
      <c r="AC238" s="323"/>
      <c r="AD238" s="323"/>
      <c r="AE238" s="323"/>
      <c r="AF238" s="323"/>
      <c r="AG238" s="323"/>
      <c r="AH238" s="323"/>
      <c r="AI238" s="323"/>
      <c r="AJ238" s="323" t="s">
        <v>746</v>
      </c>
      <c r="AK238" s="323" t="s">
        <v>747</v>
      </c>
      <c r="AL238" s="323"/>
      <c r="AM238" s="323"/>
      <c r="AN238" s="323" t="s">
        <v>846</v>
      </c>
      <c r="AO238" s="323"/>
      <c r="AP238" s="323"/>
      <c r="AQ238" s="323"/>
      <c r="AR238" s="323" t="s">
        <v>851</v>
      </c>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c r="BO238" s="323"/>
      <c r="BP238" s="323"/>
      <c r="BQ238" s="323"/>
      <c r="BR238" s="323"/>
      <c r="BS238" s="323"/>
      <c r="BT238" s="323"/>
      <c r="BU238" s="323"/>
      <c r="BV238" s="323"/>
      <c r="BW238" s="323"/>
      <c r="BX238" s="323"/>
      <c r="BY238" s="323"/>
      <c r="BZ238" s="323"/>
      <c r="CA238" s="323"/>
      <c r="CB238" s="323"/>
      <c r="CC238" s="323"/>
      <c r="CD238" s="323"/>
      <c r="CE238" s="323"/>
      <c r="CF238" s="323"/>
      <c r="CG238" s="323"/>
      <c r="CH238" s="323"/>
      <c r="CI238" s="323"/>
      <c r="CJ238" s="323"/>
      <c r="CK238" s="323"/>
      <c r="CL238" s="323"/>
      <c r="CM238" s="323"/>
      <c r="CN238" s="323"/>
      <c r="CO238" s="323"/>
      <c r="CP238" s="431"/>
      <c r="CQ238" s="434"/>
      <c r="CR238" s="323"/>
      <c r="CS238" s="323"/>
      <c r="CT238" s="323"/>
      <c r="CU238" s="323"/>
      <c r="CV238" s="323"/>
      <c r="CW238" s="323"/>
      <c r="CX238" s="323"/>
      <c r="CY238" s="323"/>
      <c r="CZ238" s="323"/>
      <c r="EK238" s="1070"/>
      <c r="EL238" s="1070"/>
      <c r="EM238" s="1070"/>
      <c r="EN238" s="1070"/>
      <c r="EO238" s="1070"/>
      <c r="EP238" s="1070"/>
      <c r="EQ238" s="1070"/>
    </row>
    <row r="239" spans="2:222" ht="40.4" hidden="1" customHeight="1" outlineLevel="1" x14ac:dyDescent="0.35">
      <c r="B239" s="359" t="s">
        <v>78</v>
      </c>
      <c r="C239" s="195" t="s">
        <v>80</v>
      </c>
      <c r="D239" s="910" t="s">
        <v>4</v>
      </c>
      <c r="E239" s="911"/>
      <c r="F239" s="911"/>
      <c r="G239" s="911"/>
      <c r="H239" s="912"/>
      <c r="I239" s="885" t="s">
        <v>5</v>
      </c>
      <c r="J239" s="886"/>
      <c r="K239" s="886"/>
      <c r="L239" s="886"/>
      <c r="M239" s="887"/>
      <c r="N239" s="877" t="s">
        <v>79</v>
      </c>
      <c r="O239" s="877"/>
      <c r="P239" s="877"/>
      <c r="Q239" s="881"/>
      <c r="R239" s="192"/>
      <c r="S239" s="193"/>
      <c r="T239" s="175"/>
      <c r="V239" s="251"/>
      <c r="W239" s="323"/>
      <c r="X239" s="323"/>
      <c r="Y239" s="323"/>
      <c r="Z239" s="323"/>
      <c r="AA239" s="323"/>
      <c r="AB239" s="323"/>
      <c r="AC239" s="323"/>
      <c r="AD239" s="323"/>
      <c r="AE239" s="323"/>
      <c r="AF239" s="323"/>
      <c r="AG239" s="323"/>
      <c r="AH239" s="323"/>
      <c r="AI239" s="323" t="s">
        <v>338</v>
      </c>
      <c r="AJ239" s="323">
        <f>VLOOKUP(E242,Pris.gulv.belægning[],2,0)*C242</f>
        <v>0</v>
      </c>
      <c r="AK239" s="323">
        <f>VLOOKUP(J242,Pris.gulv.belægning[],2,0)*C242</f>
        <v>0</v>
      </c>
      <c r="AL239" s="323"/>
      <c r="AM239" s="323"/>
      <c r="AN239" s="323" t="s">
        <v>4</v>
      </c>
      <c r="AO239" s="323" t="s">
        <v>5</v>
      </c>
      <c r="AP239" s="323"/>
      <c r="AQ239" s="323"/>
      <c r="AR239" s="323" t="s">
        <v>4</v>
      </c>
      <c r="AS239" s="323" t="s">
        <v>5</v>
      </c>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c r="BO239" s="323"/>
      <c r="BP239" s="323"/>
      <c r="BQ239" s="323"/>
      <c r="BR239" s="323"/>
      <c r="BS239" s="323"/>
      <c r="BT239" s="323"/>
      <c r="BU239" s="323"/>
      <c r="BV239" s="323"/>
      <c r="BW239" s="323"/>
      <c r="BX239" s="323"/>
      <c r="BY239" s="323"/>
      <c r="BZ239" s="323"/>
      <c r="CA239" s="323"/>
      <c r="CB239" s="323"/>
      <c r="CC239" s="323"/>
      <c r="CD239" s="323"/>
      <c r="CE239" s="323"/>
      <c r="CF239" s="323"/>
      <c r="CG239" s="323"/>
      <c r="CH239" s="323"/>
      <c r="CI239" s="323"/>
      <c r="CJ239" s="323"/>
      <c r="CK239" s="323"/>
      <c r="CL239" s="323"/>
      <c r="CM239" s="323"/>
      <c r="CN239" s="323"/>
      <c r="CO239" s="323"/>
      <c r="CP239" s="431"/>
      <c r="CQ239" s="433"/>
      <c r="CR239" s="323"/>
      <c r="CS239" s="323"/>
      <c r="CT239" s="323"/>
      <c r="CU239" s="323"/>
      <c r="CV239" s="323"/>
      <c r="CW239" s="323"/>
      <c r="CX239" s="323"/>
      <c r="CY239" s="323"/>
      <c r="CZ239" s="323"/>
      <c r="EK239" s="1070"/>
      <c r="EL239" s="1070"/>
      <c r="EM239" s="1070"/>
      <c r="EN239" s="1070"/>
      <c r="EO239" s="1070"/>
      <c r="EP239" s="1070"/>
      <c r="EQ239" s="1070"/>
    </row>
    <row r="240" spans="2:222" ht="44.15" hidden="1" customHeight="1" outlineLevel="1" x14ac:dyDescent="0.35">
      <c r="B240" s="194"/>
      <c r="C240" s="665">
        <v>0</v>
      </c>
      <c r="D240" s="908" t="s">
        <v>797</v>
      </c>
      <c r="E240" s="909"/>
      <c r="F240" s="338" t="s">
        <v>82</v>
      </c>
      <c r="G240" s="338" t="s">
        <v>83</v>
      </c>
      <c r="H240" s="346" t="s">
        <v>84</v>
      </c>
      <c r="I240" s="913" t="s">
        <v>797</v>
      </c>
      <c r="J240" s="914"/>
      <c r="K240" s="479" t="s">
        <v>82</v>
      </c>
      <c r="L240" s="479" t="s">
        <v>83</v>
      </c>
      <c r="M240" s="508" t="s">
        <v>84</v>
      </c>
      <c r="N240" s="195" t="s">
        <v>4</v>
      </c>
      <c r="O240" s="195" t="s">
        <v>85</v>
      </c>
      <c r="P240" s="195" t="s">
        <v>5</v>
      </c>
      <c r="Q240" s="357" t="s">
        <v>86</v>
      </c>
      <c r="R240" s="192"/>
      <c r="S240" s="196"/>
      <c r="V240" s="251"/>
      <c r="W240" s="323" t="s">
        <v>87</v>
      </c>
      <c r="X240" s="323" t="s">
        <v>88</v>
      </c>
      <c r="Y240" s="323" t="s">
        <v>89</v>
      </c>
      <c r="Z240" s="323" t="s">
        <v>90</v>
      </c>
      <c r="AA240" s="323" t="s">
        <v>91</v>
      </c>
      <c r="AB240" s="323"/>
      <c r="AC240" s="323"/>
      <c r="AD240" s="323"/>
      <c r="AE240" s="323" t="s">
        <v>92</v>
      </c>
      <c r="AF240" s="323"/>
      <c r="AG240" s="323"/>
      <c r="AH240" s="323"/>
      <c r="AI240" s="323" t="s">
        <v>209</v>
      </c>
      <c r="AJ240" s="323">
        <f>VLOOKUP(E243,Pris.isolering.tag[],2,0)*F243*C243</f>
        <v>0</v>
      </c>
      <c r="AK240" s="323">
        <f>VLOOKUP(J243,Pris.isolering.tag[],2,0)*K243*C243</f>
        <v>0</v>
      </c>
      <c r="AL240" s="323"/>
      <c r="AM240" s="323"/>
      <c r="AN240" s="323">
        <f>SUM(AN242:AN246)</f>
        <v>0</v>
      </c>
      <c r="AO240" s="323">
        <f>SUM(AO242:AO246)</f>
        <v>0</v>
      </c>
      <c r="AP240" s="323"/>
      <c r="AQ240" s="323"/>
      <c r="AR240" s="323">
        <f>SUM(AR242:AR245)</f>
        <v>0</v>
      </c>
      <c r="AS240" s="323">
        <f>SUM(AS242:AS245)</f>
        <v>0</v>
      </c>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c r="BO240" s="323"/>
      <c r="BP240" s="323"/>
      <c r="BQ240" s="323"/>
      <c r="BR240" s="323"/>
      <c r="BS240" s="323"/>
      <c r="BT240" s="323"/>
      <c r="BU240" s="323"/>
      <c r="BV240" s="323"/>
      <c r="BW240" s="323"/>
      <c r="BX240" s="323"/>
      <c r="BY240" s="323"/>
      <c r="BZ240" s="323"/>
      <c r="CA240" s="323"/>
      <c r="CB240" s="323"/>
      <c r="CC240" s="323"/>
      <c r="CD240" s="323"/>
      <c r="CE240" s="323"/>
      <c r="CF240" s="323"/>
      <c r="CG240" s="323"/>
      <c r="CH240" s="323"/>
      <c r="CI240" s="323"/>
      <c r="CJ240" s="323"/>
      <c r="CK240" s="323"/>
      <c r="CL240" s="323"/>
      <c r="CM240" s="323"/>
      <c r="CN240" s="323"/>
      <c r="CO240" s="323"/>
      <c r="CP240" s="431"/>
      <c r="CQ240" s="433"/>
      <c r="CR240" s="323"/>
      <c r="CS240" s="323"/>
      <c r="CT240" s="323"/>
      <c r="CU240" s="323"/>
      <c r="CV240" s="323"/>
      <c r="CW240" s="323"/>
      <c r="CX240" s="323"/>
      <c r="CY240" s="323"/>
      <c r="CZ240" s="323"/>
      <c r="EK240" s="1070"/>
      <c r="EL240" s="1070"/>
      <c r="EM240" s="1070"/>
      <c r="EN240" s="1070"/>
      <c r="EO240" s="1070"/>
      <c r="EP240" s="1070"/>
      <c r="EQ240" s="1070"/>
    </row>
    <row r="241" spans="2:222" s="198" customFormat="1" ht="26" hidden="1" customHeight="1" outlineLevel="1" x14ac:dyDescent="0.35">
      <c r="B241" s="199"/>
      <c r="C241" s="200" t="s">
        <v>93</v>
      </c>
      <c r="D241" s="915" t="s">
        <v>811</v>
      </c>
      <c r="E241" s="915"/>
      <c r="F241" s="347" t="s">
        <v>94</v>
      </c>
      <c r="G241" s="348" t="s">
        <v>95</v>
      </c>
      <c r="H241" s="349" t="s">
        <v>96</v>
      </c>
      <c r="I241" s="915" t="s">
        <v>811</v>
      </c>
      <c r="J241" s="915"/>
      <c r="K241" s="510" t="s">
        <v>94</v>
      </c>
      <c r="L241" s="511" t="s">
        <v>95</v>
      </c>
      <c r="M241" s="512" t="s">
        <v>96</v>
      </c>
      <c r="N241" s="201" t="s">
        <v>97</v>
      </c>
      <c r="O241" s="201" t="s">
        <v>97</v>
      </c>
      <c r="P241" s="201" t="s">
        <v>97</v>
      </c>
      <c r="Q241" s="358" t="s">
        <v>97</v>
      </c>
      <c r="R241" s="202"/>
      <c r="S241" s="203"/>
      <c r="T241" s="204"/>
      <c r="U241" s="204"/>
      <c r="V241" s="325"/>
      <c r="W241" s="323">
        <f>SUM(W242:W245)</f>
        <v>0</v>
      </c>
      <c r="X241" s="323">
        <f>SUM(X242:X245)</f>
        <v>0</v>
      </c>
      <c r="Y241" s="323"/>
      <c r="Z241" s="323"/>
      <c r="AA241" s="323"/>
      <c r="AB241" s="323" t="s">
        <v>111</v>
      </c>
      <c r="AC241" s="323" t="s">
        <v>98</v>
      </c>
      <c r="AD241" s="323" t="s">
        <v>99</v>
      </c>
      <c r="AE241" s="323" t="s">
        <v>100</v>
      </c>
      <c r="AF241" s="323"/>
      <c r="AG241" s="323"/>
      <c r="AH241" s="323"/>
      <c r="AI241" s="323" t="s">
        <v>36</v>
      </c>
      <c r="AJ241" s="323">
        <f>VLOOKUP(E244,Pris.Terrændæk.konstruktion[],2,0)*F244*C244</f>
        <v>0</v>
      </c>
      <c r="AK241" s="323">
        <f>VLOOKUP(J244,Pris.Terrændæk.konstruktion[],2,0)*K244*C244</f>
        <v>0</v>
      </c>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c r="BO241" s="323"/>
      <c r="BP241" s="323"/>
      <c r="BQ241" s="323"/>
      <c r="BR241" s="323"/>
      <c r="BS241" s="323"/>
      <c r="BT241" s="323"/>
      <c r="BU241" s="323"/>
      <c r="BV241" s="323"/>
      <c r="BW241" s="323"/>
      <c r="BX241" s="323"/>
      <c r="BY241" s="323"/>
      <c r="BZ241" s="323"/>
      <c r="CA241" s="323"/>
      <c r="CB241" s="323"/>
      <c r="CC241" s="323"/>
      <c r="CD241" s="323"/>
      <c r="CE241" s="323"/>
      <c r="CF241" s="323"/>
      <c r="CG241" s="323"/>
      <c r="CH241" s="323"/>
      <c r="CI241" s="323"/>
      <c r="CJ241" s="323"/>
      <c r="CK241" s="323"/>
      <c r="CL241" s="323"/>
      <c r="CM241" s="323"/>
      <c r="CN241" s="323"/>
      <c r="CO241" s="323"/>
      <c r="CP241" s="435"/>
      <c r="CQ241" s="433"/>
      <c r="CR241" s="323"/>
      <c r="CS241" s="323"/>
      <c r="CT241" s="323"/>
      <c r="CU241" s="323"/>
      <c r="CV241" s="323"/>
      <c r="CW241" s="323"/>
      <c r="CX241" s="323"/>
      <c r="CY241" s="323"/>
      <c r="CZ241" s="323"/>
      <c r="DA241" s="325"/>
      <c r="DB241" s="325"/>
      <c r="DC241" s="325"/>
      <c r="DD241" s="325"/>
      <c r="DE241" s="325"/>
      <c r="DF241" s="325"/>
      <c r="DG241" s="325"/>
      <c r="DH241" s="325"/>
      <c r="DI241" s="325"/>
      <c r="DJ241" s="325"/>
      <c r="DK241" s="325"/>
      <c r="DL241" s="325"/>
      <c r="DM241" s="325"/>
      <c r="DN241" s="325"/>
      <c r="DO241" s="325"/>
      <c r="DP241" s="325"/>
      <c r="DQ241" s="325"/>
      <c r="DR241" s="325"/>
      <c r="DS241" s="325"/>
      <c r="DT241" s="325"/>
      <c r="DU241" s="325"/>
      <c r="DV241" s="325"/>
      <c r="DW241" s="325"/>
      <c r="DX241" s="325"/>
      <c r="DY241" s="325"/>
      <c r="DZ241" s="325"/>
      <c r="EA241" s="325"/>
      <c r="EB241" s="325"/>
      <c r="EC241" s="325"/>
      <c r="ED241" s="325"/>
      <c r="EE241" s="325"/>
      <c r="EF241" s="325"/>
      <c r="EG241" s="325"/>
      <c r="EH241" s="325"/>
      <c r="EI241" s="325"/>
      <c r="EJ241" s="325"/>
      <c r="EK241" s="1072"/>
      <c r="EL241" s="1072"/>
      <c r="EM241" s="1072"/>
      <c r="EN241" s="1072"/>
      <c r="EO241" s="1072"/>
      <c r="EP241" s="1072"/>
      <c r="EQ241" s="1072"/>
      <c r="ER241" s="325"/>
      <c r="ES241" s="325"/>
      <c r="ET241" s="325"/>
      <c r="EU241" s="325"/>
      <c r="EV241" s="325"/>
      <c r="EW241" s="325"/>
      <c r="EX241" s="325"/>
      <c r="EY241" s="325"/>
      <c r="EZ241" s="325"/>
      <c r="FA241" s="325"/>
      <c r="FB241" s="325"/>
      <c r="FC241" s="325"/>
      <c r="FD241" s="325"/>
      <c r="FE241" s="325"/>
      <c r="FF241" s="325"/>
      <c r="FG241" s="325"/>
      <c r="FH241" s="325"/>
      <c r="FI241" s="325"/>
      <c r="FJ241" s="325"/>
      <c r="FK241" s="325"/>
      <c r="FL241" s="325"/>
      <c r="FM241" s="325"/>
      <c r="FN241" s="325"/>
      <c r="FO241" s="325"/>
      <c r="FP241" s="325"/>
      <c r="FQ241" s="325"/>
      <c r="FR241" s="325"/>
      <c r="FS241" s="325"/>
      <c r="FT241" s="325"/>
      <c r="FU241" s="325"/>
      <c r="FV241" s="325"/>
      <c r="FW241" s="325"/>
      <c r="FX241" s="325"/>
      <c r="FY241" s="325"/>
      <c r="FZ241" s="325"/>
      <c r="GA241" s="325"/>
      <c r="GB241" s="325"/>
      <c r="GC241" s="325"/>
      <c r="GD241" s="325"/>
      <c r="GE241" s="325"/>
      <c r="GF241" s="325"/>
      <c r="GG241" s="325"/>
      <c r="GH241" s="325"/>
      <c r="GI241" s="325"/>
      <c r="GJ241" s="325"/>
      <c r="GK241" s="325"/>
      <c r="GL241" s="325"/>
      <c r="GM241" s="325"/>
      <c r="GN241" s="325"/>
      <c r="GO241" s="325"/>
      <c r="GP241" s="325"/>
      <c r="GQ241" s="325"/>
      <c r="GR241" s="325"/>
      <c r="GS241" s="325"/>
      <c r="GT241" s="325"/>
      <c r="GU241" s="325"/>
      <c r="GV241" s="325"/>
      <c r="GW241" s="325"/>
      <c r="GX241" s="325"/>
      <c r="GY241" s="325"/>
      <c r="GZ241" s="325"/>
      <c r="HA241" s="325"/>
      <c r="HB241" s="325"/>
      <c r="HC241" s="325"/>
      <c r="HD241" s="325"/>
      <c r="HE241" s="325"/>
      <c r="HF241" s="325"/>
      <c r="HG241" s="325"/>
      <c r="HH241" s="325"/>
      <c r="HI241" s="325"/>
      <c r="HJ241" s="325"/>
      <c r="HK241" s="325"/>
      <c r="HL241" s="325"/>
      <c r="HM241" s="325"/>
      <c r="HN241" s="325"/>
    </row>
    <row r="242" spans="2:222" ht="40.4" hidden="1" customHeight="1" outlineLevel="1" thickBot="1" x14ac:dyDescent="0.4">
      <c r="B242" s="363" t="str">
        <f>'LCA data'!$B$149</f>
        <v>Gulvoverflade</v>
      </c>
      <c r="C242" s="469">
        <f>$C$240*$C$43</f>
        <v>0</v>
      </c>
      <c r="D242" s="15" t="s">
        <v>103</v>
      </c>
      <c r="E242" s="342" t="str">
        <f>IF($D$241=$D$82,D242,VLOOKUP(B242,Auto_Terrændæk[],VLOOKUP($D$241,Type_Tung_Middel_Let[],2,0),0))</f>
        <v>Angiv ikke</v>
      </c>
      <c r="F242" s="356">
        <f>(VLOOKUP(E242,Pris.gulv.belægning[],4,0))/1000</f>
        <v>0</v>
      </c>
      <c r="G242" s="350"/>
      <c r="H242" s="351" t="str">
        <f>IFERROR(IF(VLOOKUP(B242&amp;"_"&amp;E242,'LCA data'!$B$7:$X$200,2,FALSE)&lt;$Y$24,1,0)+IF(VLOOKUP(B242&amp;"_"&amp;E242,'LCA data'!$B$7:$X$200,2,FALSE)*2&lt;$Y$24,1,0),"")</f>
        <v/>
      </c>
      <c r="I242" s="15" t="s">
        <v>103</v>
      </c>
      <c r="J242" s="342" t="str">
        <f>IF($I$241=$D$82,I242,VLOOKUP(B242,Auto_Terrændæk[],VLOOKUP($I$241,Type_Tung_Middel_Let[],2,0),0))</f>
        <v>Angiv ikke</v>
      </c>
      <c r="K242" s="513">
        <f>(VLOOKUP(J242,Pris.gulv.belægning[],4,0))/1000</f>
        <v>0</v>
      </c>
      <c r="L242" s="514"/>
      <c r="M242" s="515" t="str">
        <f>IFERROR(IF(VLOOKUP(B242&amp;"_"&amp;J242,'LCA data'!$B$7:$X$200,2,FALSE)&lt;$Y$24,1,0)+IF(VLOOKUP(B242&amp;"_"&amp;J242,'LCA data'!$B$7:$X$200,2,FALSE)*2&lt;$Y$24,1,0),"")</f>
        <v/>
      </c>
      <c r="N242" s="364">
        <f>W242/1000</f>
        <v>0</v>
      </c>
      <c r="O242" s="880">
        <f>SUM(N242:N246)</f>
        <v>0</v>
      </c>
      <c r="P242" s="365">
        <f>X242/1000</f>
        <v>0</v>
      </c>
      <c r="Q242" s="888">
        <f>SUM(P242:P246)</f>
        <v>0</v>
      </c>
      <c r="R242" s="192"/>
      <c r="S242" s="196"/>
      <c r="V242" s="251"/>
      <c r="W242" s="323">
        <f>IF(E242="Angiv ikke",0,((1+H242)*VLOOKUP(B242&amp;"_"&amp;E242,'LCA data'!$B$7:$X$360,19,FALSE)*(F242*10^3)*C242))</f>
        <v>0</v>
      </c>
      <c r="X242" s="323">
        <f>IF(J242="Angiv ikke",0,((1+M242)*VLOOKUP(B242&amp;"_"&amp;J242,'LCA data'!$B$7:$X$360,19,FALSE)*(K242*10^3)*C242))</f>
        <v>0</v>
      </c>
      <c r="Y242" s="323"/>
      <c r="Z242" s="323"/>
      <c r="AA242" s="323" t="s">
        <v>4</v>
      </c>
      <c r="AB242" s="323">
        <f>AF242/$J$21/$Y$24*1000</f>
        <v>0</v>
      </c>
      <c r="AC242" s="323">
        <f>Varmetab!H81</f>
        <v>0</v>
      </c>
      <c r="AD242" s="323">
        <f>AB242+AC242</f>
        <v>0</v>
      </c>
      <c r="AE242" s="323" t="s">
        <v>4</v>
      </c>
      <c r="AF242" s="323">
        <f>W241/1000</f>
        <v>0</v>
      </c>
      <c r="AG242" s="323"/>
      <c r="AH242" s="323"/>
      <c r="AI242" s="323" t="s">
        <v>800</v>
      </c>
      <c r="AJ242" s="323">
        <f>VLOOKUP(E245,Pris.kapillarbryddende.lag[],2,0)*F245*C245</f>
        <v>0</v>
      </c>
      <c r="AK242" s="323">
        <f>VLOOKUP(J245,Pris.kapillarbryddende.lag[],2,0)*K245*C245</f>
        <v>0</v>
      </c>
      <c r="AL242" s="323"/>
      <c r="AM242" s="323"/>
      <c r="AN242" s="323">
        <f>IF(E242="Angiv ikke",0,((1+H242)*VLOOKUP(B242&amp;"_"&amp;E242,'LCA data'!$B$7:$X$360,20,FALSE)*(F242*10^3)*C242))</f>
        <v>0</v>
      </c>
      <c r="AO242" s="323">
        <f>IF(J242="Angiv ikke",0,((1+M242)*VLOOKUP(B242&amp;"_"&amp;J242,'LCA data'!$B$7:$X$360,20,FALSE)*(K242*10^3)*C242))</f>
        <v>0</v>
      </c>
      <c r="AP242" s="323"/>
      <c r="AQ242" s="323"/>
      <c r="AR242" s="323">
        <f>IF(E242="Angiv ikke",0,((1+H242)*VLOOKUP(B242&amp;"_"&amp;E242,'LCA data'!$B$7:$AA$360,26,FALSE)*(F242*10^3)*C242))</f>
        <v>0</v>
      </c>
      <c r="AS242" s="323">
        <f>IF(J242="Angiv ikke",0,((1+M242)*VLOOKUP(B242&amp;"_"&amp;J242,'LCA data'!$B$7:$AA$360,26,FALSE)*(K242*10^3)*C242))</f>
        <v>0</v>
      </c>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c r="BO242" s="323"/>
      <c r="BP242" s="323"/>
      <c r="BQ242" s="323"/>
      <c r="BR242" s="323"/>
      <c r="BS242" s="323"/>
      <c r="BT242" s="323"/>
      <c r="BU242" s="323"/>
      <c r="BV242" s="323"/>
      <c r="BW242" s="323"/>
      <c r="BX242" s="323"/>
      <c r="BY242" s="323"/>
      <c r="BZ242" s="323"/>
      <c r="CA242" s="323"/>
      <c r="CB242" s="323"/>
      <c r="CC242" s="323"/>
      <c r="CD242" s="323"/>
      <c r="CE242" s="323"/>
      <c r="CF242" s="323"/>
      <c r="CG242" s="323"/>
      <c r="CH242" s="323"/>
      <c r="CI242" s="323"/>
      <c r="CJ242" s="323"/>
      <c r="CK242" s="323"/>
      <c r="CL242" s="323"/>
      <c r="CM242" s="323"/>
      <c r="CN242" s="323"/>
      <c r="CO242" s="323"/>
      <c r="CP242" s="442"/>
      <c r="CQ242" s="438"/>
      <c r="CR242" s="323"/>
      <c r="CS242" s="323"/>
      <c r="CT242" s="323"/>
      <c r="CU242" s="323"/>
      <c r="CV242" s="323"/>
      <c r="CW242" s="323"/>
      <c r="CX242" s="323"/>
      <c r="CY242" s="323"/>
      <c r="CZ242" s="323"/>
      <c r="EK242" s="1070"/>
      <c r="EL242" s="1070"/>
      <c r="EM242" s="1070"/>
      <c r="EN242" s="1070"/>
      <c r="EO242" s="1070"/>
      <c r="EP242" s="1070"/>
      <c r="EQ242" s="1070"/>
    </row>
    <row r="243" spans="2:222" ht="40.4" hidden="1" customHeight="1" outlineLevel="1" x14ac:dyDescent="0.35">
      <c r="B243" s="208" t="str">
        <f>'LCA data'!B$32</f>
        <v>Isolering</v>
      </c>
      <c r="C243" s="466">
        <f t="shared" ref="C243:C245" si="21">$C$240*$C$43</f>
        <v>0</v>
      </c>
      <c r="D243" s="168" t="s">
        <v>103</v>
      </c>
      <c r="E243" s="342" t="str">
        <f>IF($D$241=$D$82,D243,VLOOKUP(B243,Auto_Terrændæk[],VLOOKUP($D$241,Type_Tung_Middel_Let[],2,0),0))</f>
        <v>Angiv ikke</v>
      </c>
      <c r="F243" s="11">
        <v>0.4</v>
      </c>
      <c r="G243" s="473" t="str">
        <f>VLOOKUP(E243,Isoleringsmateriale[],2,0)</f>
        <v>?</v>
      </c>
      <c r="H243" s="351" t="str">
        <f>IFERROR(IF(VLOOKUP(B243&amp;"_"&amp;E243,'LCA data'!$B$7:$X$200,2,FALSE)&lt;$Y$24,1,0)+IF(VLOOKUP(B243&amp;"_"&amp;E243,'LCA data'!$B$7:$X$200,2,FALSE)*2&lt;$Y$24,1,0),"")</f>
        <v/>
      </c>
      <c r="I243" s="168" t="s">
        <v>103</v>
      </c>
      <c r="J243" s="342" t="str">
        <f>IF($I$241=$D$82,I243,VLOOKUP(B243,Auto_Terrændæk[],VLOOKUP($I$241,Type_Tung_Middel_Let[],2,0),0))</f>
        <v>Angiv ikke</v>
      </c>
      <c r="K243" s="11">
        <v>0.4</v>
      </c>
      <c r="L243" s="473" t="str">
        <f>VLOOKUP(J243,Isoleringsmateriale[],2,0)</f>
        <v>?</v>
      </c>
      <c r="M243" s="515" t="str">
        <f>IFERROR(IF(VLOOKUP(B243&amp;"_"&amp;J243,'LCA data'!$B$7:$X$200,2,FALSE)&lt;$Y$24,1,0)+IF(VLOOKUP(B243&amp;"_"&amp;J243,'LCA data'!$B$7:$X$200,2,FALSE)*2&lt;$Y$24,1,0),"")</f>
        <v/>
      </c>
      <c r="N243" s="206">
        <f>W243/1000</f>
        <v>0</v>
      </c>
      <c r="O243" s="878"/>
      <c r="P243" s="207">
        <f>X243/1000</f>
        <v>0</v>
      </c>
      <c r="Q243" s="889"/>
      <c r="R243" s="192"/>
      <c r="S243" s="196"/>
      <c r="V243" s="251"/>
      <c r="W243" s="323">
        <f>IF(E243="Angiv ikke",0,((1+H243)*VLOOKUP(B243&amp;"_"&amp;E243,'LCA data'!$B$7:$X$360,19,FALSE)*(F243*10^3)*C243))</f>
        <v>0</v>
      </c>
      <c r="X243" s="323">
        <f>IF(J243="Angiv ikke",0,((1+M243)*VLOOKUP(B243&amp;"_"&amp;J243,'LCA data'!$B$7:$X$360,19,FALSE)*(K243*10^3)*C243))</f>
        <v>0</v>
      </c>
      <c r="Y243" s="323">
        <f>IF(G243="_",0,AC242*$J$21*$Y$24)</f>
        <v>0</v>
      </c>
      <c r="Z243" s="323">
        <f>IF(L243="_",0,AC243*$J$21*$Y$24)</f>
        <v>0</v>
      </c>
      <c r="AA243" s="323" t="s">
        <v>5</v>
      </c>
      <c r="AB243" s="323">
        <f>AG243/$J$21/$Y$24*1000</f>
        <v>0</v>
      </c>
      <c r="AC243" s="323">
        <f>Varmetab!I81</f>
        <v>0</v>
      </c>
      <c r="AD243" s="323">
        <f>AB243+AC243</f>
        <v>0</v>
      </c>
      <c r="AE243" s="323" t="s">
        <v>5</v>
      </c>
      <c r="AF243" s="323"/>
      <c r="AG243" s="323">
        <f>X241/1000</f>
        <v>0</v>
      </c>
      <c r="AH243" s="323"/>
      <c r="AI243" s="323" t="s">
        <v>743</v>
      </c>
      <c r="AJ243" s="323">
        <f>SUM(AJ239:AJ242)</f>
        <v>0</v>
      </c>
      <c r="AK243" s="323">
        <f>SUM(AK239:AK242)</f>
        <v>0</v>
      </c>
      <c r="AL243" s="323"/>
      <c r="AM243" s="323"/>
      <c r="AN243" s="323">
        <f>IF(E243="Angiv ikke",0,((1+H243)*VLOOKUP(B243&amp;"_"&amp;E243,'LCA data'!$B$7:$X$360,20,FALSE)*(F243*10^3)*C243))</f>
        <v>0</v>
      </c>
      <c r="AO243" s="323">
        <f>IF(J243="Angiv ikke",0,((1+M243)*VLOOKUP(B243&amp;"_"&amp;J243,'LCA data'!$B$7:$X$360,20,FALSE)*(K243*10^3)*C243))</f>
        <v>0</v>
      </c>
      <c r="AP243" s="323"/>
      <c r="AQ243" s="323"/>
      <c r="AR243" s="323">
        <f>IF(E243="Angiv ikke",0,((1+H243)*VLOOKUP(B243&amp;"_"&amp;E243,'LCA data'!$B$7:$AA$360,26,FALSE)*(F243*10^3)*C243))</f>
        <v>0</v>
      </c>
      <c r="AS243" s="323">
        <f>IF(J243="Angiv ikke",0,((1+M243)*VLOOKUP(B243&amp;"_"&amp;J243,'LCA data'!$B$7:$AA$360,26,FALSE)*(K243*10^3)*C243))</f>
        <v>0</v>
      </c>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c r="BO243" s="323"/>
      <c r="BP243" s="323"/>
      <c r="BQ243" s="323"/>
      <c r="BR243" s="323"/>
      <c r="BS243" s="323"/>
      <c r="BT243" s="323"/>
      <c r="BU243" s="323"/>
      <c r="BV243" s="323"/>
      <c r="BW243" s="323"/>
      <c r="BX243" s="323"/>
      <c r="BY243" s="323"/>
      <c r="BZ243" s="323"/>
      <c r="CA243" s="323"/>
      <c r="CB243" s="323"/>
      <c r="CC243" s="323"/>
      <c r="CD243" s="323"/>
      <c r="CE243" s="323"/>
      <c r="CF243" s="323"/>
      <c r="CG243" s="323"/>
      <c r="CH243" s="323"/>
      <c r="CI243" s="323"/>
      <c r="CJ243" s="323"/>
      <c r="CK243" s="323"/>
      <c r="CL243" s="323"/>
      <c r="CM243" s="323"/>
      <c r="CN243" s="323"/>
      <c r="CO243" s="323"/>
      <c r="CP243" s="439"/>
      <c r="CQ243" s="440"/>
      <c r="CR243" s="323"/>
      <c r="CS243" s="323"/>
      <c r="CT243" s="323"/>
      <c r="CU243" s="323"/>
      <c r="CV243" s="323"/>
      <c r="CW243" s="323"/>
      <c r="CX243" s="323"/>
      <c r="CY243" s="323"/>
      <c r="CZ243" s="323"/>
      <c r="EK243" s="1070"/>
      <c r="EL243" s="1070"/>
      <c r="EM243" s="1070"/>
      <c r="EN243" s="1070"/>
      <c r="EO243" s="1070"/>
      <c r="EP243" s="1070"/>
      <c r="EQ243" s="1070"/>
    </row>
    <row r="244" spans="2:222" ht="40.4" hidden="1" customHeight="1" outlineLevel="1" thickBot="1" x14ac:dyDescent="0.4">
      <c r="B244" s="205" t="str">
        <f>'LCA data'!$B$119</f>
        <v>Terrændæk</v>
      </c>
      <c r="C244" s="466">
        <f t="shared" si="21"/>
        <v>0</v>
      </c>
      <c r="D244" s="169" t="s">
        <v>103</v>
      </c>
      <c r="E244" s="342" t="str">
        <f>IF($D$241=$D$82,D244,VLOOKUP(B244,Auto_Terrændæk[],VLOOKUP($D$241,Type_Tung_Middel_Let[],2,0),0))</f>
        <v>Angiv ikke</v>
      </c>
      <c r="F244" s="172">
        <f>VLOOKUP(E244,Pris.Terrændæk.konstruktion[],4,0)/1000</f>
        <v>0</v>
      </c>
      <c r="G244" s="350"/>
      <c r="H244" s="351" t="str">
        <f>IFERROR(IF(VLOOKUP(B244&amp;"_"&amp;E244,'LCA data'!$B$7:$X$200,2,FALSE)&lt;$Y$24,1,0)+IF(VLOOKUP(B244&amp;"_"&amp;E244,'LCA data'!$B$7:$X$200,2,FALSE)*2&lt;$Y$24,1,0),"")</f>
        <v/>
      </c>
      <c r="I244" s="169" t="s">
        <v>103</v>
      </c>
      <c r="J244" s="342" t="str">
        <f>IF($I$241=$D$82,I244,VLOOKUP(B244,Auto_Terrændæk[],VLOOKUP($I$241,Type_Tung_Middel_Let[],2,0),0))</f>
        <v>Angiv ikke</v>
      </c>
      <c r="K244" s="172">
        <f>VLOOKUP(J244,Pris.Terrændæk.konstruktion[],4,0)/1000</f>
        <v>0</v>
      </c>
      <c r="L244" s="514"/>
      <c r="M244" s="515" t="str">
        <f>IFERROR(IF(VLOOKUP(B244&amp;"_"&amp;J244,'LCA data'!$B$7:$X$200,2,FALSE)&lt;$Y$24,1,0)+IF(VLOOKUP(B244&amp;"_"&amp;J244,'LCA data'!$B$7:$X$200,2,FALSE)*2&lt;$Y$24,1,0),"")</f>
        <v/>
      </c>
      <c r="N244" s="206">
        <f>W244/1000</f>
        <v>0</v>
      </c>
      <c r="O244" s="878"/>
      <c r="P244" s="207">
        <f>X244/1000</f>
        <v>0</v>
      </c>
      <c r="Q244" s="889"/>
      <c r="R244" s="192"/>
      <c r="S244" s="196"/>
      <c r="V244" s="251"/>
      <c r="W244" s="323">
        <f>IF(E244="Angiv ikke",0,((1+H244)*VLOOKUP(B244&amp;"_"&amp;E244,'LCA data'!$B$7:$X$360,19,FALSE)*(F244*10^3)*C244))</f>
        <v>0</v>
      </c>
      <c r="X244" s="323">
        <f>IF(J244="Angiv ikke",0,((1+M244)*VLOOKUP(B244&amp;"_"&amp;J244,'LCA data'!$B$7:$X$360,19,FALSE)*(K244*10^3)*C244))</f>
        <v>0</v>
      </c>
      <c r="Y244" s="323"/>
      <c r="Z244" s="323"/>
      <c r="AA244" s="323"/>
      <c r="AB244" s="323"/>
      <c r="AC244" s="323"/>
      <c r="AD244" s="323"/>
      <c r="AE244" s="323"/>
      <c r="AF244" s="323"/>
      <c r="AG244" s="323"/>
      <c r="AH244" s="323"/>
      <c r="AI244" s="323"/>
      <c r="AJ244" s="323"/>
      <c r="AK244" s="323"/>
      <c r="AL244" s="323"/>
      <c r="AM244" s="323"/>
      <c r="AN244" s="323">
        <f>IF(E244="Angiv ikke",0,((1+H244)*VLOOKUP(B244&amp;"_"&amp;E244,'LCA data'!$B$7:$X$360,20,FALSE)*(F244*10^3)*C244))</f>
        <v>0</v>
      </c>
      <c r="AO244" s="323">
        <f>IF(J244="Angiv ikke",0,((1+M244)*VLOOKUP(B244&amp;"_"&amp;J244,'LCA data'!$B$7:$X$360,20,FALSE)*(K244*10^3)*C244))</f>
        <v>0</v>
      </c>
      <c r="AP244" s="323"/>
      <c r="AQ244" s="323"/>
      <c r="AR244" s="323">
        <f>IF(E244="Angiv ikke",0,((1+H244)*VLOOKUP(B244&amp;"_"&amp;E244,'LCA data'!$B$7:$AA$360,26,FALSE)*(F244*10^3)*C244))</f>
        <v>0</v>
      </c>
      <c r="AS244" s="323">
        <f>IF(J244="Angiv ikke",0,((1+M244)*VLOOKUP(B244&amp;"_"&amp;J244,'LCA data'!$B$7:$AA$360,26,FALSE)*(K244*10^3)*C244))</f>
        <v>0</v>
      </c>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c r="BO244" s="323"/>
      <c r="BP244" s="323"/>
      <c r="BQ244" s="323"/>
      <c r="BR244" s="323"/>
      <c r="BS244" s="323"/>
      <c r="BT244" s="323"/>
      <c r="BU244" s="323"/>
      <c r="BV244" s="323"/>
      <c r="BW244" s="323"/>
      <c r="BX244" s="323"/>
      <c r="BY244" s="323"/>
      <c r="BZ244" s="323"/>
      <c r="CA244" s="323"/>
      <c r="CB244" s="323"/>
      <c r="CC244" s="323"/>
      <c r="CD244" s="323"/>
      <c r="CE244" s="323"/>
      <c r="CF244" s="323"/>
      <c r="CG244" s="323"/>
      <c r="CH244" s="323"/>
      <c r="CI244" s="323"/>
      <c r="CJ244" s="323"/>
      <c r="CK244" s="323"/>
      <c r="CL244" s="323"/>
      <c r="CM244" s="323"/>
      <c r="CN244" s="323"/>
      <c r="CO244" s="323"/>
      <c r="CP244" s="428"/>
      <c r="CQ244" s="440"/>
      <c r="CR244" s="323"/>
      <c r="CS244" s="323"/>
      <c r="CT244" s="323"/>
      <c r="CU244" s="323"/>
      <c r="CV244" s="323"/>
      <c r="CW244" s="323"/>
      <c r="CX244" s="323"/>
      <c r="CY244" s="323"/>
      <c r="CZ244" s="323"/>
      <c r="EK244" s="1070"/>
      <c r="EL244" s="1070"/>
      <c r="EM244" s="1070"/>
      <c r="EN244" s="1070"/>
      <c r="EO244" s="1070"/>
      <c r="EP244" s="1070"/>
      <c r="EQ244" s="1070"/>
    </row>
    <row r="245" spans="2:222" ht="40.4" hidden="1" customHeight="1" outlineLevel="1" thickBot="1" x14ac:dyDescent="0.4">
      <c r="B245" s="209" t="str">
        <f>'LCA data'!$B$129</f>
        <v>Kapillarbrydende lag</v>
      </c>
      <c r="C245" s="667">
        <f t="shared" si="21"/>
        <v>0</v>
      </c>
      <c r="D245" s="171" t="s">
        <v>103</v>
      </c>
      <c r="E245" s="382" t="str">
        <f>IF($D$241=$D$82,D245,VLOOKUP(B245,Auto_Terrændæk[],VLOOKUP($D$241,Type_Tung_Middel_Let[],2,0),0))</f>
        <v>Angiv ikke</v>
      </c>
      <c r="F245" s="461">
        <f>(VLOOKUP(E245,Pris.kapillarbryddende.lag[],4,0))/1000</f>
        <v>0</v>
      </c>
      <c r="G245" s="354"/>
      <c r="H245" s="355" t="str">
        <f>IFERROR(IF(VLOOKUP(B245&amp;"_"&amp;E245,'LCA data'!$B$7:$X$200,2,FALSE)&lt;$Y$24,1,0)+IF(VLOOKUP(B245&amp;"_"&amp;E245,'LCA data'!$B$7:$X$200,2,FALSE)*2&lt;$Y$24,1,0),"")</f>
        <v/>
      </c>
      <c r="I245" s="171" t="s">
        <v>103</v>
      </c>
      <c r="J245" s="382" t="str">
        <f>IF($I$241=$D$82,I245,VLOOKUP(B245,Auto_Terrændæk[],VLOOKUP($I$241,Type_Tung_Middel_Let[],2,0),0))</f>
        <v>Angiv ikke</v>
      </c>
      <c r="K245" s="461">
        <f>(VLOOKUP(J245,Pris.kapillarbryddende.lag[],4,0))/1000</f>
        <v>0</v>
      </c>
      <c r="L245" s="519"/>
      <c r="M245" s="520" t="str">
        <f>IFERROR(IF(VLOOKUP(B245&amp;"_"&amp;J245,'LCA data'!$B$7:$X$200,2,FALSE)&lt;$Y$24,1,0)+IF(VLOOKUP(B245&amp;"_"&amp;J245,'LCA data'!$B$7:$X$200,2,FALSE)*2&lt;$Y$24,1,0),"")</f>
        <v/>
      </c>
      <c r="N245" s="210">
        <f>W245/1000</f>
        <v>0</v>
      </c>
      <c r="O245" s="879"/>
      <c r="P245" s="211">
        <f>X245/1000</f>
        <v>0</v>
      </c>
      <c r="Q245" s="890"/>
      <c r="R245" s="212"/>
      <c r="S245" s="213"/>
      <c r="V245" s="251"/>
      <c r="W245" s="323">
        <f>IF(E245="Angiv ikke",0,((1+H245)*VLOOKUP(B245&amp;"_"&amp;E245,'LCA data'!$B$7:$X$360,19,FALSE)*(F245*10^3)*C245))</f>
        <v>0</v>
      </c>
      <c r="X245" s="323">
        <f>IF(J245="Angiv ikke",0,((1+M245)*VLOOKUP(B245&amp;"_"&amp;J245,'LCA data'!$B$7:$X$360,19,FALSE)*(K245*10^3)*C245))</f>
        <v>0</v>
      </c>
      <c r="Y245" s="323"/>
      <c r="Z245" s="323"/>
      <c r="AA245" s="323"/>
      <c r="AB245" s="323"/>
      <c r="AC245" s="323"/>
      <c r="AD245" s="323"/>
      <c r="AE245" s="323"/>
      <c r="AF245" s="323"/>
      <c r="AG245" s="323"/>
      <c r="AH245" s="323"/>
      <c r="AI245" s="323"/>
      <c r="AJ245" s="323"/>
      <c r="AK245" s="323"/>
      <c r="AL245" s="323"/>
      <c r="AM245" s="323"/>
      <c r="AN245" s="323">
        <f>IF(E245="Angiv ikke",0,((1+H245)*VLOOKUP(B245&amp;"_"&amp;E245,'LCA data'!$B$7:$X$360,20,FALSE)*(F245*10^3)*C245))</f>
        <v>0</v>
      </c>
      <c r="AO245" s="323">
        <f>IF(J245="Angiv ikke",0,((1+M245)*VLOOKUP(B245&amp;"_"&amp;J245,'LCA data'!$B$7:$X$360,20,FALSE)*(K245*10^3)*C245))</f>
        <v>0</v>
      </c>
      <c r="AP245" s="323"/>
      <c r="AQ245" s="323"/>
      <c r="AR245" s="323">
        <f>IF(E245="Angiv ikke",0,((1+H245)*VLOOKUP(B245&amp;"_"&amp;E245,'LCA data'!$B$7:$AA$360,26,FALSE)*(F245*10^3)*C245))</f>
        <v>0</v>
      </c>
      <c r="AS245" s="323">
        <f>IF(J245="Angiv ikke",0,((1+M245)*VLOOKUP(B245&amp;"_"&amp;J245,'LCA data'!$B$7:$AA$360,26,FALSE)*(K245*10^3)*C245))</f>
        <v>0</v>
      </c>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c r="BN245" s="323"/>
      <c r="BO245" s="323"/>
      <c r="BP245" s="323"/>
      <c r="BQ245" s="323"/>
      <c r="BR245" s="323"/>
      <c r="BS245" s="323"/>
      <c r="BT245" s="323"/>
      <c r="BU245" s="323"/>
      <c r="BV245" s="323"/>
      <c r="BW245" s="323"/>
      <c r="BX245" s="323"/>
      <c r="BY245" s="323"/>
      <c r="BZ245" s="323"/>
      <c r="CA245" s="323"/>
      <c r="CB245" s="323"/>
      <c r="CC245" s="323"/>
      <c r="CD245" s="323"/>
      <c r="CE245" s="323"/>
      <c r="CF245" s="323"/>
      <c r="CG245" s="323"/>
      <c r="CH245" s="323"/>
      <c r="CI245" s="323"/>
      <c r="CJ245" s="323"/>
      <c r="CK245" s="323"/>
      <c r="CL245" s="323"/>
      <c r="CM245" s="323"/>
      <c r="CN245" s="323"/>
      <c r="CO245" s="323"/>
      <c r="CP245" s="1144" t="s">
        <v>77</v>
      </c>
      <c r="CQ245" s="1145"/>
      <c r="CR245" s="323"/>
      <c r="CS245" s="323"/>
      <c r="CT245" s="323"/>
      <c r="CU245" s="323"/>
      <c r="CV245" s="323"/>
      <c r="CW245" s="323"/>
      <c r="CX245" s="323"/>
      <c r="CY245" s="323"/>
      <c r="CZ245" s="323"/>
      <c r="EK245" s="1070"/>
      <c r="EL245" s="1070"/>
      <c r="EM245" s="1070"/>
      <c r="EN245" s="1070"/>
      <c r="EO245" s="1070"/>
      <c r="EP245" s="1070"/>
      <c r="EQ245" s="1070"/>
    </row>
    <row r="246" spans="2:222" ht="13.5" hidden="1" customHeight="1" outlineLevel="1" x14ac:dyDescent="0.35">
      <c r="B246" s="542"/>
      <c r="C246" s="542"/>
      <c r="D246" s="542"/>
      <c r="E246" s="542"/>
      <c r="F246" s="542"/>
      <c r="G246" s="542"/>
      <c r="H246" s="542"/>
      <c r="I246" s="542"/>
      <c r="J246" s="542"/>
      <c r="K246" s="542"/>
      <c r="L246" s="542"/>
      <c r="M246" s="542"/>
      <c r="N246" s="218"/>
      <c r="P246" s="216"/>
      <c r="R246" s="217"/>
      <c r="V246" s="251"/>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c r="BN246" s="323"/>
      <c r="BO246" s="323"/>
      <c r="BP246" s="323"/>
      <c r="BQ246" s="323"/>
      <c r="BR246" s="323"/>
      <c r="BS246" s="323"/>
      <c r="BT246" s="323"/>
      <c r="BU246" s="323"/>
      <c r="BV246" s="323"/>
      <c r="BW246" s="323"/>
      <c r="BX246" s="323"/>
      <c r="BY246" s="323"/>
      <c r="BZ246" s="323"/>
      <c r="CA246" s="323"/>
      <c r="CB246" s="323"/>
      <c r="CC246" s="323"/>
      <c r="CD246" s="323"/>
      <c r="CE246" s="323"/>
      <c r="CF246" s="323"/>
      <c r="CG246" s="323"/>
      <c r="CH246" s="323"/>
      <c r="CI246" s="323"/>
      <c r="CJ246" s="323"/>
      <c r="CK246" s="323"/>
      <c r="CL246" s="323"/>
      <c r="CM246" s="323"/>
      <c r="CN246" s="323"/>
      <c r="CO246" s="323"/>
      <c r="CP246" s="431"/>
      <c r="CQ246" s="432"/>
      <c r="CR246" s="323"/>
      <c r="CS246" s="323"/>
      <c r="CT246" s="323"/>
      <c r="CU246" s="323"/>
      <c r="CV246" s="323"/>
      <c r="CW246" s="323"/>
      <c r="CX246" s="323"/>
      <c r="CY246" s="323"/>
      <c r="CZ246" s="323"/>
      <c r="EK246" s="1070"/>
      <c r="EL246" s="1070"/>
      <c r="EM246" s="1070"/>
      <c r="EN246" s="1070"/>
      <c r="EO246" s="1070"/>
      <c r="EP246" s="1070"/>
      <c r="EQ246" s="1070"/>
    </row>
    <row r="247" spans="2:222" ht="31" customHeight="1" collapsed="1" thickBot="1" x14ac:dyDescent="0.4">
      <c r="B247" s="373"/>
      <c r="C247" s="373"/>
      <c r="E247" s="373"/>
      <c r="F247" s="373"/>
      <c r="G247" s="373"/>
      <c r="H247" s="373"/>
      <c r="J247" s="373"/>
      <c r="K247" s="373"/>
      <c r="L247" s="373"/>
      <c r="M247" s="373"/>
      <c r="R247" s="217"/>
      <c r="S247" s="217"/>
      <c r="V247" s="251"/>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c r="BN247" s="323"/>
      <c r="BO247" s="323"/>
      <c r="BP247" s="323"/>
      <c r="BQ247" s="323"/>
      <c r="BR247" s="323"/>
      <c r="BS247" s="323"/>
      <c r="BT247" s="323"/>
      <c r="BU247" s="323"/>
      <c r="BV247" s="323"/>
      <c r="BW247" s="323"/>
      <c r="BX247" s="323"/>
      <c r="BY247" s="323"/>
      <c r="BZ247" s="323"/>
      <c r="CA247" s="323"/>
      <c r="CB247" s="323"/>
      <c r="CC247" s="323"/>
      <c r="CD247" s="323"/>
      <c r="CE247" s="323"/>
      <c r="CF247" s="323"/>
      <c r="CG247" s="323"/>
      <c r="CH247" s="323"/>
      <c r="CI247" s="323"/>
      <c r="CJ247" s="323"/>
      <c r="CK247" s="323"/>
      <c r="CL247" s="323"/>
      <c r="CM247" s="323"/>
      <c r="CN247" s="323"/>
      <c r="CO247" s="323"/>
      <c r="CP247" s="431"/>
      <c r="CQ247" s="433"/>
      <c r="CR247" s="323"/>
      <c r="CS247" s="323"/>
      <c r="CT247" s="323"/>
      <c r="CU247" s="323"/>
      <c r="CV247" s="323"/>
      <c r="CW247" s="323"/>
      <c r="CX247" s="323"/>
      <c r="CY247" s="323"/>
      <c r="CZ247" s="323"/>
      <c r="EK247" s="1070"/>
      <c r="EL247" s="1070"/>
      <c r="EM247" s="1070"/>
      <c r="EN247" s="1070"/>
      <c r="EO247" s="1070"/>
      <c r="EP247" s="1070"/>
      <c r="EQ247" s="1070"/>
    </row>
    <row r="248" spans="2:222" ht="44.25" customHeight="1" x14ac:dyDescent="0.7">
      <c r="B248" s="484" t="s">
        <v>812</v>
      </c>
      <c r="C248" s="481"/>
      <c r="D248" s="481"/>
      <c r="E248" s="481"/>
      <c r="F248" s="481"/>
      <c r="G248" s="481"/>
      <c r="H248" s="481"/>
      <c r="I248" s="481"/>
      <c r="J248" s="481"/>
      <c r="K248" s="481"/>
      <c r="L248" s="481"/>
      <c r="M248" s="481"/>
      <c r="N248" s="481"/>
      <c r="O248" s="481"/>
      <c r="P248" s="481"/>
      <c r="Q248" s="481"/>
      <c r="R248" s="481"/>
      <c r="S248" s="482"/>
      <c r="V248" s="251"/>
      <c r="W248" s="323"/>
      <c r="X248" s="323"/>
      <c r="Y248" s="323"/>
      <c r="Z248" s="323"/>
      <c r="AA248" s="323"/>
      <c r="AB248" s="323"/>
      <c r="AC248" s="323"/>
      <c r="AD248" s="323"/>
      <c r="AE248" s="323"/>
      <c r="AF248" s="323"/>
      <c r="AG248" s="323"/>
      <c r="AH248" s="323"/>
      <c r="AI248" s="323"/>
      <c r="AJ248" s="323"/>
      <c r="AK248" s="323"/>
      <c r="AL248" s="323" t="str">
        <f>IFERROR(AJ251+VLOOKUP(B248&amp;"_"&amp;J248,'LCA data'!$B$7:$X$238,2,FALSE),"")</f>
        <v/>
      </c>
      <c r="AM248" s="323" t="str">
        <f>IFERROR(IF(M248-1&gt;0,VLOOKUP(B248&amp;"_"&amp;J248,'LCA data'!$B$7:$X$200,19,FALSE)*(K248*10^3)*C248,""),"")</f>
        <v/>
      </c>
      <c r="AN248" s="323" t="str">
        <f>IFERROR(AL248+VLOOKUP(B248&amp;"_"&amp;J248,'LCA data'!$B$7:$X$238,2,FALSE),"")</f>
        <v/>
      </c>
      <c r="AO248" s="323" t="str">
        <f>IFERROR(IF(M248-2&gt;0,VLOOKUP(B248&amp;"_"&amp;J248,'LCA data'!$B$7:$X$200,19,FALSE)*(K248*10^3)*C248,""),"")</f>
        <v/>
      </c>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c r="BN248" s="323"/>
      <c r="BO248" s="323"/>
      <c r="BP248" s="323"/>
      <c r="BQ248" s="323"/>
      <c r="BR248" s="323"/>
      <c r="BS248" s="323"/>
      <c r="BT248" s="323"/>
      <c r="BU248" s="323"/>
      <c r="BV248" s="323"/>
      <c r="BW248" s="323"/>
      <c r="BX248" s="323"/>
      <c r="BY248" s="323"/>
      <c r="BZ248" s="323"/>
      <c r="CA248" s="323"/>
      <c r="CB248" s="323"/>
      <c r="CC248" s="323"/>
      <c r="CD248" s="323"/>
      <c r="CE248" s="323"/>
      <c r="CF248" s="323"/>
      <c r="CG248" s="323"/>
      <c r="CH248" s="323"/>
      <c r="CI248" s="323"/>
      <c r="CJ248" s="323"/>
      <c r="CK248" s="323"/>
      <c r="CL248" s="323"/>
      <c r="CM248" s="323"/>
      <c r="CN248" s="323"/>
      <c r="CO248" s="323"/>
      <c r="CP248" s="431"/>
      <c r="CQ248" s="434"/>
      <c r="CR248" s="323"/>
      <c r="CS248" s="323"/>
      <c r="CT248" s="323"/>
      <c r="CU248" s="323"/>
      <c r="CV248" s="323"/>
      <c r="CW248" s="323"/>
      <c r="CX248" s="323"/>
      <c r="CY248" s="323"/>
      <c r="CZ248" s="323"/>
      <c r="EK248" s="1070"/>
      <c r="EL248" s="1070"/>
      <c r="EM248" s="1070"/>
      <c r="EN248" s="1070"/>
      <c r="EO248" s="1070"/>
      <c r="EP248" s="1070"/>
      <c r="EQ248" s="1070"/>
    </row>
    <row r="249" spans="2:222" ht="13.4" customHeight="1" x14ac:dyDescent="0.35">
      <c r="B249" s="376"/>
      <c r="C249" s="372"/>
      <c r="E249" s="228"/>
      <c r="F249" s="228"/>
      <c r="G249" s="228"/>
      <c r="H249" s="228"/>
      <c r="J249" s="228"/>
      <c r="K249" s="228"/>
      <c r="L249" s="228"/>
      <c r="M249" s="228"/>
      <c r="N249" s="229"/>
      <c r="O249" s="229"/>
      <c r="P249" s="230"/>
      <c r="Q249" s="375"/>
      <c r="R249" s="217"/>
      <c r="S249" s="231"/>
      <c r="T249" s="175"/>
      <c r="V249" s="251"/>
      <c r="W249" s="323"/>
      <c r="X249" s="323"/>
      <c r="Y249" s="323"/>
      <c r="Z249" s="323"/>
      <c r="AA249" s="323"/>
      <c r="AB249" s="323"/>
      <c r="AC249" s="323"/>
      <c r="AD249" s="323"/>
      <c r="AE249" s="323"/>
      <c r="AF249" s="323"/>
      <c r="AG249" s="323"/>
      <c r="AH249" s="323"/>
      <c r="AI249" s="323"/>
      <c r="AJ249" s="323"/>
      <c r="AK249" s="323"/>
      <c r="AL249" s="323" t="str">
        <f>IFERROR(AJ249+VLOOKUP(B249&amp;"_"&amp;J249,'LCA data'!$B$7:$X$238,2,FALSE),"")</f>
        <v/>
      </c>
      <c r="AM249" s="323" t="str">
        <f>IFERROR(IF(M249-1&gt;0,VLOOKUP(B249&amp;"_"&amp;J249,'LCA data'!$B$7:$X$200,19,FALSE)*(K249*10^3)*C249,""),"")</f>
        <v/>
      </c>
      <c r="AN249" s="323" t="str">
        <f>IFERROR(AL249+VLOOKUP(B249&amp;"_"&amp;J249,'LCA data'!$B$7:$X$238,2,FALSE),"")</f>
        <v/>
      </c>
      <c r="AO249" s="323" t="str">
        <f>IFERROR(IF(M249-2&gt;0,VLOOKUP(B249&amp;"_"&amp;J249,'LCA data'!$B$7:$X$200,19,FALSE)*(K249*10^3)*C249,""),"")</f>
        <v/>
      </c>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c r="BM249" s="323"/>
      <c r="BN249" s="323"/>
      <c r="BO249" s="323"/>
      <c r="BP249" s="323"/>
      <c r="BQ249" s="323"/>
      <c r="BR249" s="323"/>
      <c r="BS249" s="323"/>
      <c r="BT249" s="323"/>
      <c r="BU249" s="323"/>
      <c r="BV249" s="323"/>
      <c r="BW249" s="323"/>
      <c r="BX249" s="323"/>
      <c r="BY249" s="323"/>
      <c r="BZ249" s="323"/>
      <c r="CA249" s="323"/>
      <c r="CB249" s="323"/>
      <c r="CC249" s="323"/>
      <c r="CD249" s="323"/>
      <c r="CE249" s="323"/>
      <c r="CF249" s="323"/>
      <c r="CG249" s="323"/>
      <c r="CH249" s="323"/>
      <c r="CI249" s="323"/>
      <c r="CJ249" s="323"/>
      <c r="CK249" s="323"/>
      <c r="CL249" s="323"/>
      <c r="CM249" s="323"/>
      <c r="CN249" s="323"/>
      <c r="CO249" s="323"/>
      <c r="CP249" s="431"/>
      <c r="CQ249" s="433"/>
      <c r="CR249" s="323"/>
      <c r="CS249" s="323"/>
      <c r="CT249" s="323"/>
      <c r="CU249" s="323"/>
      <c r="CV249" s="323"/>
      <c r="CW249" s="323"/>
      <c r="CX249" s="323"/>
      <c r="CY249" s="323"/>
      <c r="CZ249" s="323"/>
      <c r="EK249" s="1070"/>
      <c r="EL249" s="1070"/>
      <c r="EM249" s="1070"/>
      <c r="EN249" s="1070"/>
      <c r="EO249" s="1070"/>
      <c r="EP249" s="1070"/>
      <c r="EQ249" s="1070"/>
    </row>
    <row r="250" spans="2:222" ht="25.4" customHeight="1" x14ac:dyDescent="0.35">
      <c r="B250" s="376"/>
      <c r="C250" s="372"/>
      <c r="E250" s="228"/>
      <c r="F250" s="228"/>
      <c r="G250" s="228"/>
      <c r="H250" s="228"/>
      <c r="J250" s="228"/>
      <c r="K250" s="228"/>
      <c r="L250" s="228"/>
      <c r="M250" s="228"/>
      <c r="N250" s="229"/>
      <c r="O250" s="229"/>
      <c r="P250" s="230"/>
      <c r="Q250" s="373"/>
      <c r="R250" s="217"/>
      <c r="S250" s="231"/>
      <c r="T250" s="175"/>
      <c r="V250" s="251"/>
      <c r="W250" s="323"/>
      <c r="X250" s="323"/>
      <c r="Y250" s="323"/>
      <c r="Z250" s="323"/>
      <c r="AA250" s="323"/>
      <c r="AB250" s="323"/>
      <c r="AC250" s="323"/>
      <c r="AD250" s="323"/>
      <c r="AE250" s="323"/>
      <c r="AF250" s="323"/>
      <c r="AG250" s="323"/>
      <c r="AH250" s="323"/>
      <c r="AI250" s="323"/>
      <c r="AJ250" s="323"/>
      <c r="AK250" s="323"/>
      <c r="AL250" s="323" t="str">
        <f>IFERROR(AJ250+VLOOKUP(B250&amp;"_"&amp;J250,'LCA data'!$B$7:$X$238,2,FALSE),"")</f>
        <v/>
      </c>
      <c r="AM250" s="323" t="str">
        <f>IFERROR(IF(M250-1&gt;0,VLOOKUP(B250&amp;"_"&amp;J250,'LCA data'!$B$7:$X$200,19,FALSE)*(K250*10^3)*C250,""),"")</f>
        <v/>
      </c>
      <c r="AN250" s="323" t="str">
        <f>IFERROR(AL250+VLOOKUP(B250&amp;"_"&amp;J250,'LCA data'!$B$7:$X$238,2,FALSE),"")</f>
        <v/>
      </c>
      <c r="AO250" s="323" t="str">
        <f>IFERROR(IF(M250-2&gt;0,VLOOKUP(B250&amp;"_"&amp;J250,'LCA data'!$B$7:$X$200,19,FALSE)*(K250*10^3)*C250,""),"")</f>
        <v/>
      </c>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323"/>
      <c r="BU250" s="323"/>
      <c r="BV250" s="323"/>
      <c r="BW250" s="323"/>
      <c r="BX250" s="323"/>
      <c r="BY250" s="323"/>
      <c r="BZ250" s="323"/>
      <c r="CA250" s="323"/>
      <c r="CB250" s="323"/>
      <c r="CC250" s="323"/>
      <c r="CD250" s="323"/>
      <c r="CE250" s="323"/>
      <c r="CF250" s="323"/>
      <c r="CG250" s="323"/>
      <c r="CH250" s="323"/>
      <c r="CI250" s="323"/>
      <c r="CJ250" s="323"/>
      <c r="CK250" s="323"/>
      <c r="CL250" s="323"/>
      <c r="CM250" s="323"/>
      <c r="CN250" s="323"/>
      <c r="CO250" s="323"/>
      <c r="CP250" s="431"/>
      <c r="CQ250" s="433"/>
      <c r="CR250" s="323"/>
      <c r="CS250" s="323"/>
      <c r="CT250" s="323"/>
      <c r="CU250" s="323"/>
      <c r="CV250" s="323"/>
      <c r="CW250" s="323"/>
      <c r="CX250" s="323"/>
      <c r="CY250" s="323"/>
      <c r="CZ250" s="323"/>
      <c r="EK250" s="1070"/>
      <c r="EL250" s="1070"/>
      <c r="EM250" s="1070"/>
      <c r="EN250" s="1070"/>
      <c r="EO250" s="1070"/>
      <c r="EP250" s="1070"/>
      <c r="EQ250" s="1070"/>
    </row>
    <row r="251" spans="2:222" ht="25.4" customHeight="1" x14ac:dyDescent="0.35">
      <c r="B251" s="376"/>
      <c r="C251" s="372"/>
      <c r="E251" s="228"/>
      <c r="F251" s="228"/>
      <c r="G251" s="228"/>
      <c r="H251" s="228"/>
      <c r="J251" s="228"/>
      <c r="K251" s="228"/>
      <c r="L251" s="228"/>
      <c r="M251" s="228"/>
      <c r="N251" s="229"/>
      <c r="O251" s="229"/>
      <c r="P251" s="230"/>
      <c r="Q251" s="373"/>
      <c r="R251" s="217"/>
      <c r="S251" s="231"/>
      <c r="T251" s="175"/>
      <c r="V251" s="251"/>
      <c r="W251" s="323"/>
      <c r="X251" s="323"/>
      <c r="Y251" s="323"/>
      <c r="Z251" s="323"/>
      <c r="AA251" s="323"/>
      <c r="AB251" s="323"/>
      <c r="AC251" s="323"/>
      <c r="AD251" s="323"/>
      <c r="AE251" s="323"/>
      <c r="AF251" s="323"/>
      <c r="AG251" s="323"/>
      <c r="AH251" s="323"/>
      <c r="AI251" s="323"/>
      <c r="AJ251" s="323" t="s">
        <v>746</v>
      </c>
      <c r="AK251" s="323" t="s">
        <v>747</v>
      </c>
      <c r="AL251" s="323" t="str">
        <f>IFERROR(#REF!+VLOOKUP(B251&amp;"_"&amp;J251,'LCA data'!$B$7:$X$238,2,FALSE),"")</f>
        <v/>
      </c>
      <c r="AM251" s="323" t="str">
        <f>IFERROR(IF(M251-1&gt;0,VLOOKUP(B251&amp;"_"&amp;J251,'LCA data'!$B$7:$X$200,19,FALSE)*(K251*10^3)*C251,""),"")</f>
        <v/>
      </c>
      <c r="AN251" s="323" t="str">
        <f>IFERROR(AL251+VLOOKUP(B251&amp;"_"&amp;J251,'LCA data'!$B$7:$X$238,2,FALSE),"")</f>
        <v/>
      </c>
      <c r="AO251" s="323" t="str">
        <f>IFERROR(IF(M251-2&gt;0,VLOOKUP(B251&amp;"_"&amp;J251,'LCA data'!$B$7:$X$200,19,FALSE)*(K251*10^3)*C251,""),"")</f>
        <v/>
      </c>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323"/>
      <c r="BU251" s="323"/>
      <c r="BV251" s="323"/>
      <c r="BW251" s="323"/>
      <c r="BX251" s="323"/>
      <c r="BY251" s="323"/>
      <c r="BZ251" s="323"/>
      <c r="CA251" s="323"/>
      <c r="CB251" s="323"/>
      <c r="CC251" s="323"/>
      <c r="CD251" s="323"/>
      <c r="CE251" s="323"/>
      <c r="CF251" s="323"/>
      <c r="CG251" s="323"/>
      <c r="CH251" s="323"/>
      <c r="CI251" s="323"/>
      <c r="CJ251" s="323"/>
      <c r="CK251" s="323"/>
      <c r="CL251" s="323"/>
      <c r="CM251" s="323"/>
      <c r="CN251" s="323"/>
      <c r="CO251" s="323"/>
      <c r="CP251" s="435"/>
      <c r="CQ251" s="433"/>
      <c r="CR251" s="323"/>
      <c r="CS251" s="323"/>
      <c r="CT251" s="323"/>
      <c r="CU251" s="323"/>
      <c r="CV251" s="323"/>
      <c r="CW251" s="323"/>
      <c r="CX251" s="323"/>
      <c r="CY251" s="323"/>
      <c r="CZ251" s="323"/>
      <c r="EK251" s="1070"/>
      <c r="EL251" s="1070"/>
      <c r="EM251" s="1070"/>
      <c r="EN251" s="1070"/>
      <c r="EO251" s="1070"/>
      <c r="EP251" s="1070"/>
      <c r="EQ251" s="1070"/>
    </row>
    <row r="252" spans="2:222" ht="25.4" customHeight="1" thickBot="1" x14ac:dyDescent="0.4">
      <c r="B252" s="376"/>
      <c r="C252" s="372"/>
      <c r="E252" s="228"/>
      <c r="F252" s="228"/>
      <c r="G252" s="228"/>
      <c r="H252" s="228"/>
      <c r="J252" s="228"/>
      <c r="K252" s="228"/>
      <c r="L252" s="228"/>
      <c r="M252" s="228"/>
      <c r="N252" s="229"/>
      <c r="O252" s="229"/>
      <c r="P252" s="230"/>
      <c r="Q252" s="373"/>
      <c r="R252" s="217"/>
      <c r="S252" s="231"/>
      <c r="T252" s="175"/>
      <c r="V252" s="251"/>
      <c r="W252" s="323"/>
      <c r="X252" s="323"/>
      <c r="Y252" s="323"/>
      <c r="Z252" s="323"/>
      <c r="AA252" s="323"/>
      <c r="AB252" s="323"/>
      <c r="AC252" s="323"/>
      <c r="AD252" s="323"/>
      <c r="AE252" s="323"/>
      <c r="AF252" s="323"/>
      <c r="AG252" s="323"/>
      <c r="AH252" s="323"/>
      <c r="AI252" s="323" t="s">
        <v>800</v>
      </c>
      <c r="AJ252" s="323">
        <f>AJ261+AJ271+AJ281+AJ291+AJ301</f>
        <v>229411.50029999999</v>
      </c>
      <c r="AK252" s="323">
        <f t="shared" ref="AK252" si="22">AK261+AK271+AK281+AK291+AK301</f>
        <v>204061.43340000004</v>
      </c>
      <c r="AL252" s="323" t="str">
        <f>IFERROR(AJ252+VLOOKUP(B252&amp;"_"&amp;J252,'LCA data'!$B$7:$X$238,2,FALSE),"")</f>
        <v/>
      </c>
      <c r="AM252" s="323" t="str">
        <f>IFERROR(IF(M252-1&gt;0,VLOOKUP(B252&amp;"_"&amp;J252,'LCA data'!$B$7:$X$200,19,FALSE)*(K252*10^3)*C252,""),"")</f>
        <v/>
      </c>
      <c r="AN252" s="323" t="str">
        <f>IFERROR(AL252+VLOOKUP(B252&amp;"_"&amp;J252,'LCA data'!$B$7:$X$238,2,FALSE),"")</f>
        <v/>
      </c>
      <c r="AO252" s="323" t="str">
        <f>IFERROR(IF(M252-2&gt;0,VLOOKUP(B252&amp;"_"&amp;J252,'LCA data'!$B$7:$X$200,19,FALSE)*(K252*10^3)*C252,""),"")</f>
        <v/>
      </c>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c r="BM252" s="323"/>
      <c r="BN252" s="323"/>
      <c r="BO252" s="323"/>
      <c r="BP252" s="323"/>
      <c r="BQ252" s="323"/>
      <c r="BR252" s="323"/>
      <c r="BS252" s="323"/>
      <c r="BT252" s="323"/>
      <c r="BU252" s="323"/>
      <c r="BV252" s="323"/>
      <c r="BW252" s="323"/>
      <c r="BX252" s="323"/>
      <c r="BY252" s="323"/>
      <c r="BZ252" s="323"/>
      <c r="CA252" s="323"/>
      <c r="CB252" s="323"/>
      <c r="CC252" s="323"/>
      <c r="CD252" s="323"/>
      <c r="CE252" s="323"/>
      <c r="CF252" s="323"/>
      <c r="CG252" s="323"/>
      <c r="CH252" s="323"/>
      <c r="CI252" s="323"/>
      <c r="CJ252" s="323"/>
      <c r="CK252" s="323"/>
      <c r="CL252" s="323"/>
      <c r="CM252" s="323"/>
      <c r="CN252" s="323"/>
      <c r="CO252" s="323"/>
      <c r="CP252" s="442"/>
      <c r="CQ252" s="438"/>
      <c r="CR252" s="323"/>
      <c r="CS252" s="323"/>
      <c r="CT252" s="323"/>
      <c r="CU252" s="323"/>
      <c r="CV252" s="323"/>
      <c r="CW252" s="323"/>
      <c r="CX252" s="323"/>
      <c r="CY252" s="323"/>
      <c r="CZ252" s="323"/>
      <c r="EK252" s="1070"/>
      <c r="EL252" s="1070"/>
      <c r="EM252" s="1070"/>
      <c r="EN252" s="1070"/>
      <c r="EO252" s="1070"/>
      <c r="EP252" s="1070"/>
      <c r="EQ252" s="1070"/>
    </row>
    <row r="253" spans="2:222" ht="25.4" customHeight="1" x14ac:dyDescent="0.35">
      <c r="B253" s="376"/>
      <c r="C253" s="372"/>
      <c r="E253" s="228"/>
      <c r="F253" s="228"/>
      <c r="G253" s="228"/>
      <c r="H253" s="228"/>
      <c r="J253" s="228"/>
      <c r="K253" s="228"/>
      <c r="L253" s="228"/>
      <c r="M253" s="228"/>
      <c r="N253" s="229"/>
      <c r="O253" s="229"/>
      <c r="P253" s="230"/>
      <c r="Q253" s="373"/>
      <c r="R253" s="217"/>
      <c r="S253" s="231"/>
      <c r="T253" s="175"/>
      <c r="V253" s="251"/>
      <c r="W253" s="323"/>
      <c r="X253" s="323"/>
      <c r="Y253" s="323"/>
      <c r="Z253" s="323"/>
      <c r="AA253" s="323"/>
      <c r="AB253" s="323"/>
      <c r="AC253" s="323"/>
      <c r="AD253" s="323"/>
      <c r="AE253" s="323"/>
      <c r="AF253" s="323"/>
      <c r="AG253" s="323"/>
      <c r="AH253" s="323"/>
      <c r="AI253" s="323" t="s">
        <v>743</v>
      </c>
      <c r="AJ253" s="323">
        <f>SUM(AJ249:AJ252)</f>
        <v>229411.50029999999</v>
      </c>
      <c r="AK253" s="323">
        <f>SUM(AK249:AK252)</f>
        <v>204061.43340000004</v>
      </c>
      <c r="AL253" s="323" t="str">
        <f>IFERROR(AJ253+VLOOKUP(B253&amp;"_"&amp;J253,'LCA data'!$B$7:$X$238,2,FALSE),"")</f>
        <v/>
      </c>
      <c r="AM253" s="323" t="str">
        <f>IFERROR(IF(M253-1&gt;0,VLOOKUP(B253&amp;"_"&amp;J253,'LCA data'!$B$7:$X$200,19,FALSE)*(K253*10^3)*C253,""),"")</f>
        <v/>
      </c>
      <c r="AN253" s="323" t="str">
        <f>IFERROR(AL253+VLOOKUP(B253&amp;"_"&amp;J253,'LCA data'!$B$7:$X$238,2,FALSE),"")</f>
        <v/>
      </c>
      <c r="AO253" s="323" t="str">
        <f>IFERROR(IF(M253-2&gt;0,VLOOKUP(B253&amp;"_"&amp;J253,'LCA data'!$B$7:$X$200,19,FALSE)*(K253*10^3)*C253,""),"")</f>
        <v/>
      </c>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323"/>
      <c r="BU253" s="323"/>
      <c r="BV253" s="323"/>
      <c r="BW253" s="323"/>
      <c r="BX253" s="323"/>
      <c r="BY253" s="323"/>
      <c r="BZ253" s="323"/>
      <c r="CA253" s="323"/>
      <c r="CB253" s="323"/>
      <c r="CC253" s="323"/>
      <c r="CD253" s="323"/>
      <c r="CE253" s="323"/>
      <c r="CF253" s="323"/>
      <c r="CG253" s="323"/>
      <c r="CH253" s="323"/>
      <c r="CI253" s="323"/>
      <c r="CJ253" s="323"/>
      <c r="CK253" s="323"/>
      <c r="CL253" s="323"/>
      <c r="CM253" s="323"/>
      <c r="CN253" s="323"/>
      <c r="CO253" s="323"/>
      <c r="CP253" s="439"/>
      <c r="CQ253" s="440"/>
      <c r="CR253" s="323"/>
      <c r="CS253" s="323"/>
      <c r="CT253" s="323"/>
      <c r="CU253" s="323"/>
      <c r="CV253" s="323"/>
      <c r="CW253" s="323"/>
      <c r="CX253" s="323"/>
      <c r="CY253" s="323"/>
      <c r="CZ253" s="323"/>
      <c r="EK253" s="1070"/>
      <c r="EL253" s="1070"/>
      <c r="EM253" s="1070"/>
      <c r="EN253" s="1070"/>
      <c r="EO253" s="1070"/>
      <c r="EP253" s="1070"/>
      <c r="EQ253" s="1070"/>
    </row>
    <row r="254" spans="2:222" ht="25.4" customHeight="1" x14ac:dyDescent="0.35">
      <c r="B254" s="376"/>
      <c r="C254" s="372"/>
      <c r="E254" s="228"/>
      <c r="F254" s="228"/>
      <c r="G254" s="228"/>
      <c r="H254" s="228"/>
      <c r="J254" s="228"/>
      <c r="K254" s="228"/>
      <c r="L254" s="228"/>
      <c r="M254" s="228"/>
      <c r="N254" s="229"/>
      <c r="O254" s="229"/>
      <c r="P254" s="230"/>
      <c r="Q254" s="373"/>
      <c r="R254" s="217"/>
      <c r="S254" s="231"/>
      <c r="T254" s="175"/>
      <c r="V254" s="251"/>
      <c r="W254" s="323"/>
      <c r="X254" s="323"/>
      <c r="Y254" s="323"/>
      <c r="Z254" s="323"/>
      <c r="AA254" s="323"/>
      <c r="AB254" s="323"/>
      <c r="AC254" s="323"/>
      <c r="AD254" s="323"/>
      <c r="AE254" s="323"/>
      <c r="AF254" s="323"/>
      <c r="AG254" s="323"/>
      <c r="AH254" s="323"/>
      <c r="AI254" s="323" t="str">
        <f>IFERROR(VLOOKUP(B254&amp;"_"&amp;J254,'LCA data'!$B$7:$X$200,19,FALSE)*(K254*10^3)*C254,"")</f>
        <v/>
      </c>
      <c r="AJ254" s="323" t="str">
        <f>IFERROR(VLOOKUP($B254&amp;"_"&amp;J254,'LCA data'!$B$7:$X$238,2,FALSE),"")</f>
        <v/>
      </c>
      <c r="AK254" s="323" t="str">
        <f>IFERROR(IF(M254&gt;0,VLOOKUP(B254&amp;"_"&amp;J254,'LCA data'!$B$7:$X$200,19,FALSE)*(K254*10^3)*C254,""),"")</f>
        <v/>
      </c>
      <c r="AL254" s="323" t="str">
        <f>IFERROR(AJ254+VLOOKUP(B254&amp;"_"&amp;J254,'LCA data'!$B$7:$X$238,2,FALSE),"")</f>
        <v/>
      </c>
      <c r="AM254" s="323" t="str">
        <f>IFERROR(IF(M254-1&gt;0,VLOOKUP(B254&amp;"_"&amp;J254,'LCA data'!$B$7:$X$200,19,FALSE)*(K254*10^3)*C254,""),"")</f>
        <v/>
      </c>
      <c r="AN254" s="323" t="s">
        <v>864</v>
      </c>
      <c r="AO254" s="323" t="s">
        <v>4</v>
      </c>
      <c r="AP254" s="323">
        <f>AN260</f>
        <v>-1201.5</v>
      </c>
      <c r="AQ254" s="323"/>
      <c r="AR254" s="323" t="s">
        <v>866</v>
      </c>
      <c r="AS254" s="323" t="s">
        <v>4</v>
      </c>
      <c r="AT254" s="323">
        <f>AR260</f>
        <v>0</v>
      </c>
      <c r="AU254" s="323"/>
      <c r="AV254" s="323"/>
      <c r="AW254" s="323"/>
      <c r="AX254" s="323"/>
      <c r="AY254" s="323"/>
      <c r="AZ254" s="323"/>
      <c r="BA254" s="323"/>
      <c r="BB254" s="323"/>
      <c r="BC254" s="323"/>
      <c r="BD254" s="323"/>
      <c r="BE254" s="323"/>
      <c r="BF254" s="323"/>
      <c r="BG254" s="323"/>
      <c r="BH254" s="323"/>
      <c r="BI254" s="323"/>
      <c r="BJ254" s="323"/>
      <c r="BK254" s="323"/>
      <c r="BL254" s="323"/>
      <c r="BM254" s="323"/>
      <c r="BN254" s="323"/>
      <c r="BO254" s="323"/>
      <c r="BP254" s="323"/>
      <c r="BQ254" s="323"/>
      <c r="BR254" s="323"/>
      <c r="BS254" s="323"/>
      <c r="BT254" s="323"/>
      <c r="BU254" s="323"/>
      <c r="BV254" s="323"/>
      <c r="BW254" s="323"/>
      <c r="BX254" s="323"/>
      <c r="BY254" s="323"/>
      <c r="BZ254" s="323"/>
      <c r="CA254" s="323"/>
      <c r="CB254" s="323"/>
      <c r="CC254" s="323"/>
      <c r="CD254" s="323"/>
      <c r="CE254" s="323"/>
      <c r="CF254" s="323"/>
      <c r="CG254" s="323"/>
      <c r="CH254" s="323"/>
      <c r="CI254" s="323"/>
      <c r="CJ254" s="323"/>
      <c r="CK254" s="323"/>
      <c r="CL254" s="323"/>
      <c r="CM254" s="323"/>
      <c r="CN254" s="323"/>
      <c r="CO254" s="323"/>
      <c r="CP254" s="428"/>
      <c r="CQ254" s="441"/>
      <c r="CR254" s="323"/>
      <c r="CS254" s="323"/>
      <c r="CT254" s="323"/>
      <c r="CU254" s="323"/>
      <c r="CV254" s="323"/>
      <c r="CW254" s="323"/>
      <c r="CX254" s="323"/>
      <c r="CY254" s="323"/>
      <c r="CZ254" s="323"/>
      <c r="EK254" s="1070"/>
      <c r="EL254" s="1070"/>
      <c r="EM254" s="1070"/>
      <c r="EN254" s="1070"/>
      <c r="EO254" s="1070"/>
      <c r="EP254" s="1070"/>
      <c r="EQ254" s="1070"/>
    </row>
    <row r="255" spans="2:222" ht="25.4" customHeight="1" x14ac:dyDescent="0.35">
      <c r="B255" s="376"/>
      <c r="C255" s="372"/>
      <c r="E255" s="228"/>
      <c r="F255" s="228"/>
      <c r="G255" s="228"/>
      <c r="H255" s="228"/>
      <c r="J255" s="228"/>
      <c r="K255" s="228"/>
      <c r="L255" s="228"/>
      <c r="M255" s="228"/>
      <c r="N255" s="229"/>
      <c r="O255" s="229"/>
      <c r="P255" s="230"/>
      <c r="Q255" s="373"/>
      <c r="R255" s="217"/>
      <c r="S255" s="231"/>
      <c r="T255" s="175"/>
      <c r="V255" s="251"/>
      <c r="W255" s="323"/>
      <c r="X255" s="323"/>
      <c r="Y255" s="323"/>
      <c r="Z255" s="323"/>
      <c r="AA255" s="323"/>
      <c r="AB255" s="323"/>
      <c r="AC255" s="323"/>
      <c r="AD255" s="323"/>
      <c r="AE255" s="323"/>
      <c r="AF255" s="323"/>
      <c r="AG255" s="323"/>
      <c r="AH255" s="323"/>
      <c r="AI255" s="323"/>
      <c r="AJ255" s="323"/>
      <c r="AK255" s="323"/>
      <c r="AL255" s="323"/>
      <c r="AM255" s="323"/>
      <c r="AN255" s="323" t="s">
        <v>865</v>
      </c>
      <c r="AO255" s="323" t="s">
        <v>5</v>
      </c>
      <c r="AP255" s="323"/>
      <c r="AQ255" s="323">
        <f>AO260</f>
        <v>-2655</v>
      </c>
      <c r="AR255" s="323" t="s">
        <v>866</v>
      </c>
      <c r="AS255" s="323" t="s">
        <v>5</v>
      </c>
      <c r="AT255" s="323"/>
      <c r="AU255" s="323">
        <f>AS260</f>
        <v>1241.0999999999999</v>
      </c>
      <c r="AV255" s="323"/>
      <c r="AW255" s="323"/>
      <c r="AX255" s="323"/>
      <c r="AY255" s="323"/>
      <c r="AZ255" s="323"/>
      <c r="BA255" s="323"/>
      <c r="BB255" s="323"/>
      <c r="BC255" s="323"/>
      <c r="BD255" s="323"/>
      <c r="BE255" s="323"/>
      <c r="BF255" s="323"/>
      <c r="BG255" s="323"/>
      <c r="BH255" s="323"/>
      <c r="BI255" s="323"/>
      <c r="BJ255" s="323"/>
      <c r="BK255" s="323"/>
      <c r="BL255" s="323"/>
      <c r="BM255" s="323"/>
      <c r="BN255" s="323"/>
      <c r="BO255" s="323"/>
      <c r="BP255" s="323"/>
      <c r="BQ255" s="323"/>
      <c r="BR255" s="323"/>
      <c r="BS255" s="323"/>
      <c r="BT255" s="323"/>
      <c r="BU255" s="323"/>
      <c r="BV255" s="323"/>
      <c r="BW255" s="323"/>
      <c r="BX255" s="323"/>
      <c r="BY255" s="323"/>
      <c r="BZ255" s="323"/>
      <c r="CA255" s="323"/>
      <c r="CB255" s="323"/>
      <c r="CC255" s="323"/>
      <c r="CD255" s="323"/>
      <c r="CE255" s="323"/>
      <c r="CF255" s="323"/>
      <c r="CG255" s="323"/>
      <c r="CH255" s="323"/>
      <c r="CI255" s="323"/>
      <c r="CJ255" s="323"/>
      <c r="CK255" s="323"/>
      <c r="CL255" s="323"/>
      <c r="CM255" s="323"/>
      <c r="CN255" s="323"/>
      <c r="CO255" s="323"/>
      <c r="CP255" s="439"/>
      <c r="CQ255" s="428"/>
      <c r="CR255" s="323"/>
      <c r="CS255" s="323"/>
      <c r="CT255" s="323"/>
      <c r="CU255" s="323"/>
      <c r="CV255" s="323"/>
      <c r="CW255" s="323"/>
      <c r="CX255" s="323"/>
      <c r="CY255" s="323"/>
      <c r="CZ255" s="323"/>
      <c r="EK255" s="1070"/>
      <c r="EL255" s="1070"/>
      <c r="EM255" s="1070"/>
      <c r="EN255" s="1070"/>
      <c r="EO255" s="1070"/>
      <c r="EP255" s="1070"/>
      <c r="EQ255" s="1070"/>
    </row>
    <row r="256" spans="2:222" ht="54.65" customHeight="1" thickBot="1" x14ac:dyDescent="0.4">
      <c r="B256" s="377"/>
      <c r="C256" s="378"/>
      <c r="D256" s="234"/>
      <c r="E256" s="234"/>
      <c r="F256" s="234"/>
      <c r="G256" s="234"/>
      <c r="H256" s="234"/>
      <c r="I256" s="234"/>
      <c r="J256" s="234"/>
      <c r="K256" s="234"/>
      <c r="L256" s="234"/>
      <c r="M256" s="234"/>
      <c r="N256" s="235"/>
      <c r="O256" s="235"/>
      <c r="P256" s="236"/>
      <c r="Q256" s="379"/>
      <c r="R256" s="380"/>
      <c r="S256" s="238"/>
      <c r="T256" s="175"/>
      <c r="V256" s="251"/>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c r="BM256" s="323"/>
      <c r="BN256" s="323"/>
      <c r="BO256" s="323"/>
      <c r="BP256" s="323"/>
      <c r="BQ256" s="323"/>
      <c r="BR256" s="323"/>
      <c r="BS256" s="323"/>
      <c r="BT256" s="323"/>
      <c r="BU256" s="323"/>
      <c r="BV256" s="323"/>
      <c r="BW256" s="323"/>
      <c r="BX256" s="323"/>
      <c r="BY256" s="323"/>
      <c r="BZ256" s="323"/>
      <c r="CA256" s="323"/>
      <c r="CB256" s="323"/>
      <c r="CC256" s="323"/>
      <c r="CD256" s="323"/>
      <c r="CE256" s="323"/>
      <c r="CF256" s="323"/>
      <c r="CG256" s="323"/>
      <c r="CH256" s="323"/>
      <c r="CI256" s="323"/>
      <c r="CJ256" s="323"/>
      <c r="CK256" s="323"/>
      <c r="CL256" s="323"/>
      <c r="CM256" s="323"/>
      <c r="CN256" s="323"/>
      <c r="CO256" s="323"/>
      <c r="CP256" s="439"/>
      <c r="CQ256" s="440"/>
      <c r="CR256" s="323"/>
      <c r="CS256" s="323"/>
      <c r="CT256" s="323"/>
      <c r="CU256" s="323"/>
      <c r="CV256" s="323"/>
      <c r="CW256" s="323"/>
      <c r="CX256" s="323"/>
      <c r="CY256" s="323"/>
      <c r="CZ256" s="323"/>
      <c r="EK256" s="1070"/>
      <c r="EL256" s="1070"/>
      <c r="EM256" s="1070"/>
      <c r="EN256" s="1070"/>
      <c r="EO256" s="1070"/>
      <c r="EP256" s="1070"/>
      <c r="EQ256" s="1070"/>
    </row>
    <row r="257" spans="2:222" ht="13.4" customHeight="1" thickBot="1" x14ac:dyDescent="0.7">
      <c r="B257" s="381"/>
      <c r="F257" s="228"/>
      <c r="G257" s="228"/>
      <c r="H257" s="228"/>
      <c r="K257" s="228"/>
      <c r="L257" s="228"/>
      <c r="M257" s="228"/>
      <c r="N257" s="229"/>
      <c r="O257" s="229"/>
      <c r="P257" s="230"/>
      <c r="Q257" s="239"/>
      <c r="S257" s="240"/>
      <c r="T257" s="175"/>
      <c r="V257" s="251"/>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c r="BM257" s="323"/>
      <c r="BN257" s="323"/>
      <c r="BO257" s="323"/>
      <c r="BP257" s="323"/>
      <c r="BQ257" s="323"/>
      <c r="BR257" s="323"/>
      <c r="BS257" s="323"/>
      <c r="BT257" s="323"/>
      <c r="BU257" s="323"/>
      <c r="BV257" s="323"/>
      <c r="BW257" s="323"/>
      <c r="BX257" s="323"/>
      <c r="BY257" s="323"/>
      <c r="BZ257" s="323"/>
      <c r="CA257" s="323"/>
      <c r="CB257" s="323"/>
      <c r="CC257" s="323"/>
      <c r="CD257" s="323"/>
      <c r="CE257" s="323"/>
      <c r="CF257" s="323"/>
      <c r="CG257" s="323"/>
      <c r="CH257" s="323"/>
      <c r="CI257" s="323"/>
      <c r="CJ257" s="323"/>
      <c r="CK257" s="323"/>
      <c r="CL257" s="323"/>
      <c r="CM257" s="323"/>
      <c r="CN257" s="323"/>
      <c r="CO257" s="323"/>
      <c r="CP257" s="439"/>
      <c r="CQ257" s="440"/>
      <c r="CR257" s="323"/>
      <c r="CS257" s="323"/>
      <c r="CT257" s="323"/>
      <c r="CU257" s="323"/>
      <c r="CV257" s="323"/>
      <c r="CW257" s="323"/>
      <c r="CX257" s="323"/>
      <c r="CY257" s="323"/>
      <c r="CZ257" s="323"/>
      <c r="EK257" s="1070"/>
      <c r="EL257" s="1070"/>
      <c r="EM257" s="1070"/>
      <c r="EN257" s="1070"/>
      <c r="EO257" s="1070"/>
      <c r="EP257" s="1070"/>
      <c r="EQ257" s="1070"/>
    </row>
    <row r="258" spans="2:222" ht="37.5" customHeight="1" x14ac:dyDescent="0.35">
      <c r="B258" s="493" t="s">
        <v>112</v>
      </c>
      <c r="C258" s="499"/>
      <c r="D258" s="499"/>
      <c r="E258" s="506" t="s">
        <v>36</v>
      </c>
      <c r="F258" s="499"/>
      <c r="G258" s="499"/>
      <c r="H258" s="499"/>
      <c r="I258" s="500" t="str">
        <f>"Fundament"&amp;" "&amp;1</f>
        <v>Fundament 1</v>
      </c>
      <c r="J258" s="499"/>
      <c r="K258" s="499"/>
      <c r="L258" s="499"/>
      <c r="M258" s="499"/>
      <c r="N258" s="499"/>
      <c r="O258" s="499"/>
      <c r="P258" s="499"/>
      <c r="Q258" s="501"/>
      <c r="R258" s="190"/>
      <c r="S258" s="191"/>
      <c r="V258" s="251"/>
      <c r="W258" s="323">
        <f>IF(F261=$C$72,1,0)</f>
        <v>0</v>
      </c>
      <c r="X258" s="323">
        <f>IF(K261=$C$72,1,0)</f>
        <v>0</v>
      </c>
      <c r="Y258" s="323"/>
      <c r="Z258" s="323"/>
      <c r="AA258" s="323"/>
      <c r="AB258" s="323"/>
      <c r="AC258" s="323"/>
      <c r="AD258" s="323"/>
      <c r="AE258" s="323"/>
      <c r="AF258" s="323"/>
      <c r="AG258" s="323"/>
      <c r="AH258" s="323"/>
      <c r="AI258" s="323"/>
      <c r="AJ258" s="323"/>
      <c r="AK258" s="323"/>
      <c r="AL258" s="323"/>
      <c r="AM258" s="323"/>
      <c r="AN258" s="323" t="s">
        <v>846</v>
      </c>
      <c r="AO258" s="323"/>
      <c r="AP258" s="323"/>
      <c r="AQ258" s="323"/>
      <c r="AR258" s="323" t="s">
        <v>851</v>
      </c>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c r="BM258" s="323"/>
      <c r="BN258" s="323"/>
      <c r="BO258" s="323"/>
      <c r="BP258" s="323"/>
      <c r="BQ258" s="323"/>
      <c r="BR258" s="323"/>
      <c r="BS258" s="323"/>
      <c r="BT258" s="323"/>
      <c r="BU258" s="323"/>
      <c r="BV258" s="323"/>
      <c r="BW258" s="323"/>
      <c r="BX258" s="323"/>
      <c r="BY258" s="323"/>
      <c r="BZ258" s="323"/>
      <c r="CA258" s="323"/>
      <c r="CB258" s="323"/>
      <c r="CC258" s="323"/>
      <c r="CD258" s="323"/>
      <c r="CE258" s="323"/>
      <c r="CF258" s="323"/>
      <c r="CG258" s="323"/>
      <c r="CH258" s="323"/>
      <c r="CI258" s="323"/>
      <c r="CJ258" s="323"/>
      <c r="CK258" s="323"/>
      <c r="CL258" s="323"/>
      <c r="CM258" s="323"/>
      <c r="CN258" s="323"/>
      <c r="CO258" s="323"/>
      <c r="CP258" s="439"/>
      <c r="CQ258" s="440"/>
      <c r="CR258" s="323"/>
      <c r="CS258" s="323"/>
      <c r="CT258" s="323"/>
      <c r="CU258" s="323"/>
      <c r="CV258" s="323"/>
      <c r="CW258" s="323"/>
      <c r="CX258" s="323"/>
      <c r="CY258" s="323"/>
      <c r="CZ258" s="323"/>
      <c r="EK258" s="1070"/>
      <c r="EL258" s="1070"/>
      <c r="EM258" s="1070"/>
      <c r="EN258" s="1070"/>
      <c r="EO258" s="1070"/>
      <c r="EP258" s="1070"/>
      <c r="EQ258" s="1070"/>
    </row>
    <row r="259" spans="2:222" ht="40.4" customHeight="1" x14ac:dyDescent="0.35">
      <c r="B259" s="359" t="s">
        <v>78</v>
      </c>
      <c r="C259" s="360"/>
      <c r="D259" s="910" t="str">
        <f>"Scenarie 1: "&amp;F262</f>
        <v>Scenarie 1: Linjefundament</v>
      </c>
      <c r="E259" s="911"/>
      <c r="F259" s="911"/>
      <c r="G259" s="911"/>
      <c r="H259" s="912"/>
      <c r="I259" s="885" t="str">
        <f>"Scenarie 2: "&amp;K262</f>
        <v>Scenarie 2: Skruefundament</v>
      </c>
      <c r="J259" s="886"/>
      <c r="K259" s="886"/>
      <c r="L259" s="886"/>
      <c r="M259" s="887"/>
      <c r="N259" s="877" t="s">
        <v>79</v>
      </c>
      <c r="O259" s="877"/>
      <c r="P259" s="877"/>
      <c r="Q259" s="881"/>
      <c r="R259" s="192"/>
      <c r="S259" s="193"/>
      <c r="T259" s="175"/>
      <c r="V259" s="251"/>
      <c r="W259" s="323" t="s">
        <v>87</v>
      </c>
      <c r="X259" s="323" t="s">
        <v>88</v>
      </c>
      <c r="Y259" s="323"/>
      <c r="Z259" s="323"/>
      <c r="AA259" s="323" t="s">
        <v>91</v>
      </c>
      <c r="AB259" s="323"/>
      <c r="AC259" s="323"/>
      <c r="AD259" s="323"/>
      <c r="AE259" s="323" t="s">
        <v>92</v>
      </c>
      <c r="AF259" s="323"/>
      <c r="AG259" s="323"/>
      <c r="AH259" s="323"/>
      <c r="AI259" s="323"/>
      <c r="AJ259" s="323"/>
      <c r="AK259" s="323"/>
      <c r="AL259" s="323"/>
      <c r="AM259" s="323"/>
      <c r="AN259" s="323" t="s">
        <v>4</v>
      </c>
      <c r="AO259" s="323" t="s">
        <v>5</v>
      </c>
      <c r="AP259" s="323"/>
      <c r="AQ259" s="323"/>
      <c r="AR259" s="323" t="s">
        <v>4</v>
      </c>
      <c r="AS259" s="323" t="s">
        <v>5</v>
      </c>
      <c r="AT259" s="323"/>
      <c r="AU259" s="323"/>
      <c r="AV259" s="323"/>
      <c r="AW259" s="323"/>
      <c r="AX259" s="323"/>
      <c r="AY259" s="323"/>
      <c r="AZ259" s="323"/>
      <c r="BA259" s="323"/>
      <c r="BB259" s="323"/>
      <c r="BC259" s="323"/>
      <c r="BD259" s="323"/>
      <c r="BE259" s="323"/>
      <c r="BF259" s="323"/>
      <c r="BG259" s="323"/>
      <c r="BH259" s="323"/>
      <c r="BI259" s="323"/>
      <c r="BJ259" s="323"/>
      <c r="BK259" s="323"/>
      <c r="BL259" s="323"/>
      <c r="BM259" s="323"/>
      <c r="BN259" s="323"/>
      <c r="BO259" s="323"/>
      <c r="BP259" s="323"/>
      <c r="BQ259" s="323"/>
      <c r="BR259" s="323"/>
      <c r="BS259" s="323"/>
      <c r="BT259" s="323"/>
      <c r="BU259" s="323"/>
      <c r="BV259" s="323"/>
      <c r="BW259" s="323"/>
      <c r="BX259" s="323"/>
      <c r="BY259" s="323"/>
      <c r="BZ259" s="323"/>
      <c r="CA259" s="323"/>
      <c r="CB259" s="323"/>
      <c r="CC259" s="323"/>
      <c r="CD259" s="323"/>
      <c r="CE259" s="323"/>
      <c r="CF259" s="323"/>
      <c r="CG259" s="323"/>
      <c r="CH259" s="323"/>
      <c r="CI259" s="323"/>
      <c r="CJ259" s="323"/>
      <c r="CK259" s="323"/>
      <c r="CL259" s="323"/>
      <c r="CM259" s="323"/>
      <c r="CN259" s="323"/>
      <c r="CO259" s="323"/>
      <c r="CP259" s="439"/>
      <c r="CQ259" s="440"/>
      <c r="CR259" s="323"/>
      <c r="CS259" s="323"/>
      <c r="CT259" s="323"/>
      <c r="CU259" s="323"/>
      <c r="CV259" s="323"/>
      <c r="CW259" s="323"/>
      <c r="CX259" s="323"/>
      <c r="CY259" s="323"/>
      <c r="CZ259" s="323"/>
      <c r="EK259" s="1070"/>
      <c r="EL259" s="1070"/>
      <c r="EM259" s="1070"/>
      <c r="EN259" s="1070"/>
      <c r="EO259" s="1070"/>
      <c r="EP259" s="1070"/>
      <c r="EQ259" s="1070"/>
    </row>
    <row r="260" spans="2:222" ht="44.15" customHeight="1" x14ac:dyDescent="0.35">
      <c r="B260" s="194"/>
      <c r="C260" s="195" t="s">
        <v>813</v>
      </c>
      <c r="D260" s="908" t="s">
        <v>81</v>
      </c>
      <c r="E260" s="909"/>
      <c r="F260" s="338"/>
      <c r="G260" s="338"/>
      <c r="H260" s="346" t="s">
        <v>84</v>
      </c>
      <c r="I260" s="891" t="s">
        <v>81</v>
      </c>
      <c r="J260" s="892"/>
      <c r="K260" s="479"/>
      <c r="L260" s="479"/>
      <c r="M260" s="508" t="s">
        <v>84</v>
      </c>
      <c r="N260" s="195" t="s">
        <v>4</v>
      </c>
      <c r="O260" s="195" t="s">
        <v>85</v>
      </c>
      <c r="P260" s="195" t="s">
        <v>5</v>
      </c>
      <c r="Q260" s="357" t="s">
        <v>86</v>
      </c>
      <c r="R260" s="192"/>
      <c r="S260" s="196"/>
      <c r="V260" s="251"/>
      <c r="W260" s="323">
        <f>SUM(W261:W262)</f>
        <v>15295.499999999998</v>
      </c>
      <c r="X260" s="323">
        <f>SUM(X261:X262)</f>
        <v>4894.2</v>
      </c>
      <c r="Y260" s="323"/>
      <c r="Z260" s="323"/>
      <c r="AA260" s="323"/>
      <c r="AB260" s="323" t="s">
        <v>111</v>
      </c>
      <c r="AC260" s="323" t="s">
        <v>98</v>
      </c>
      <c r="AD260" s="323" t="s">
        <v>99</v>
      </c>
      <c r="AE260" s="323" t="s">
        <v>100</v>
      </c>
      <c r="AF260" s="323"/>
      <c r="AG260" s="323"/>
      <c r="AH260" s="323"/>
      <c r="AI260" s="323"/>
      <c r="AJ260" s="323" t="s">
        <v>746</v>
      </c>
      <c r="AK260" s="323" t="s">
        <v>747</v>
      </c>
      <c r="AL260" s="323"/>
      <c r="AM260" s="323"/>
      <c r="AN260" s="323">
        <f>SUM(AN262:AN267)</f>
        <v>-1201.5</v>
      </c>
      <c r="AO260" s="323">
        <f>SUM(AO262:AO267)</f>
        <v>-2655</v>
      </c>
      <c r="AP260" s="323"/>
      <c r="AQ260" s="323"/>
      <c r="AR260" s="323">
        <f>SUM(AR262:AR266)</f>
        <v>0</v>
      </c>
      <c r="AS260" s="323">
        <f>SUM(AS262:AS266)</f>
        <v>1241.0999999999999</v>
      </c>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c r="BN260" s="323"/>
      <c r="BO260" s="323"/>
      <c r="BP260" s="323"/>
      <c r="BQ260" s="323"/>
      <c r="BR260" s="323"/>
      <c r="BS260" s="323"/>
      <c r="BT260" s="323"/>
      <c r="BU260" s="323"/>
      <c r="BV260" s="323"/>
      <c r="BW260" s="323"/>
      <c r="BX260" s="323"/>
      <c r="BY260" s="323"/>
      <c r="BZ260" s="323"/>
      <c r="CA260" s="323"/>
      <c r="CB260" s="323"/>
      <c r="CC260" s="323"/>
      <c r="CD260" s="323"/>
      <c r="CE260" s="323"/>
      <c r="CF260" s="323"/>
      <c r="CG260" s="323"/>
      <c r="CH260" s="323"/>
      <c r="CI260" s="323"/>
      <c r="CJ260" s="323"/>
      <c r="CK260" s="323"/>
      <c r="CL260" s="323"/>
      <c r="CM260" s="323"/>
      <c r="CN260" s="323"/>
      <c r="CO260" s="323"/>
      <c r="CP260" s="439"/>
      <c r="CQ260" s="440"/>
      <c r="CR260" s="323"/>
      <c r="CS260" s="323"/>
      <c r="CT260" s="323"/>
      <c r="CU260" s="323"/>
      <c r="CV260" s="323"/>
      <c r="CW260" s="323"/>
      <c r="CX260" s="323"/>
      <c r="CY260" s="323"/>
      <c r="CZ260" s="323"/>
      <c r="EK260" s="1070"/>
      <c r="EL260" s="1070"/>
      <c r="EM260" s="1070"/>
      <c r="EN260" s="1070"/>
      <c r="EO260" s="1070"/>
      <c r="EP260" s="1070"/>
      <c r="EQ260" s="1070"/>
    </row>
    <row r="261" spans="2:222" s="198" customFormat="1" ht="26" customHeight="1" x14ac:dyDescent="0.35">
      <c r="B261" s="683">
        <f>IF(C263="Nej",(C41*3+C39*3),(C41*3+C39*3)+($I$21-1)*(1.5*(C41*3+C39*3)))</f>
        <v>90</v>
      </c>
      <c r="C261" s="200" t="s">
        <v>94</v>
      </c>
      <c r="D261" s="944" t="s">
        <v>828</v>
      </c>
      <c r="E261" s="994"/>
      <c r="F261" s="990" t="str">
        <f>C31</f>
        <v>Benyt Standard</v>
      </c>
      <c r="G261" s="990"/>
      <c r="H261" s="349" t="s">
        <v>96</v>
      </c>
      <c r="I261" s="992" t="s">
        <v>828</v>
      </c>
      <c r="J261" s="992"/>
      <c r="K261" s="990" t="str">
        <f>$E$31</f>
        <v>Benyt Standard</v>
      </c>
      <c r="L261" s="990"/>
      <c r="M261" s="512" t="s">
        <v>96</v>
      </c>
      <c r="N261" s="201" t="s">
        <v>97</v>
      </c>
      <c r="O261" s="201" t="s">
        <v>97</v>
      </c>
      <c r="P261" s="201" t="s">
        <v>97</v>
      </c>
      <c r="Q261" s="358" t="s">
        <v>97</v>
      </c>
      <c r="R261" s="202"/>
      <c r="S261" s="203"/>
      <c r="T261" s="204"/>
      <c r="U261" s="204"/>
      <c r="V261" s="325"/>
      <c r="W261" s="323">
        <f>IF(F262="Angiv ikke",0,(VLOOKUP(B262&amp;"_"&amp;F262,'LCA data'!$B$7:$X$360,8,0)))*B261</f>
        <v>15295.499999999998</v>
      </c>
      <c r="X261" s="323">
        <f>IF(K262="Angiv ikke",0,(VLOOKUP(B262&amp;"_"&amp;K262,'LCA data'!$B$7:$X$360,8,0)))*B261</f>
        <v>4894.2</v>
      </c>
      <c r="Y261" s="323"/>
      <c r="Z261" s="323"/>
      <c r="AA261" s="323" t="s">
        <v>4</v>
      </c>
      <c r="AB261" s="323">
        <f>AF261/$J$21/$Y$24*1000</f>
        <v>0.76477499999999987</v>
      </c>
      <c r="AC261" s="323">
        <f>Varmetab!H137</f>
        <v>0</v>
      </c>
      <c r="AD261" s="323">
        <f>AB261+AC261</f>
        <v>0.76477499999999987</v>
      </c>
      <c r="AE261" s="323" t="s">
        <v>4</v>
      </c>
      <c r="AF261" s="323">
        <f>W260/1000</f>
        <v>15.295499999999999</v>
      </c>
      <c r="AG261" s="323"/>
      <c r="AH261" s="323"/>
      <c r="AI261" s="323" t="s">
        <v>817</v>
      </c>
      <c r="AJ261" s="323">
        <f>VLOOKUP(F262,Pris.fundament[],2,0)*B261</f>
        <v>229411.50029999999</v>
      </c>
      <c r="AK261" s="323">
        <f>VLOOKUP(K262,Pris.fundament[],2,0)*B261</f>
        <v>204061.43340000004</v>
      </c>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c r="BN261" s="323"/>
      <c r="BO261" s="323"/>
      <c r="BP261" s="323"/>
      <c r="BQ261" s="323"/>
      <c r="BR261" s="323"/>
      <c r="BS261" s="323"/>
      <c r="BT261" s="323"/>
      <c r="BU261" s="323"/>
      <c r="BV261" s="323"/>
      <c r="BW261" s="323"/>
      <c r="BX261" s="323"/>
      <c r="BY261" s="323"/>
      <c r="BZ261" s="323"/>
      <c r="CA261" s="323"/>
      <c r="CB261" s="323"/>
      <c r="CC261" s="323"/>
      <c r="CD261" s="323"/>
      <c r="CE261" s="323"/>
      <c r="CF261" s="323"/>
      <c r="CG261" s="323"/>
      <c r="CH261" s="323"/>
      <c r="CI261" s="323"/>
      <c r="CJ261" s="323"/>
      <c r="CK261" s="323"/>
      <c r="CL261" s="323"/>
      <c r="CM261" s="323"/>
      <c r="CN261" s="323"/>
      <c r="CO261" s="323"/>
      <c r="CP261" s="439"/>
      <c r="CQ261" s="440"/>
      <c r="CR261" s="323"/>
      <c r="CS261" s="323"/>
      <c r="CT261" s="323"/>
      <c r="CU261" s="323"/>
      <c r="CV261" s="323"/>
      <c r="CW261" s="323"/>
      <c r="CX261" s="323"/>
      <c r="CY261" s="323"/>
      <c r="CZ261" s="323"/>
      <c r="DA261" s="325"/>
      <c r="DB261" s="325"/>
      <c r="DC261" s="325"/>
      <c r="DD261" s="325"/>
      <c r="DE261" s="325"/>
      <c r="DF261" s="325"/>
      <c r="DG261" s="325"/>
      <c r="DH261" s="325"/>
      <c r="DI261" s="325"/>
      <c r="DJ261" s="325"/>
      <c r="DK261" s="325"/>
      <c r="DL261" s="325"/>
      <c r="DM261" s="325"/>
      <c r="DN261" s="325"/>
      <c r="DO261" s="325"/>
      <c r="DP261" s="325"/>
      <c r="DQ261" s="325"/>
      <c r="DR261" s="325"/>
      <c r="DS261" s="325"/>
      <c r="DT261" s="325"/>
      <c r="DU261" s="325"/>
      <c r="DV261" s="325"/>
      <c r="DW261" s="325"/>
      <c r="DX261" s="325"/>
      <c r="DY261" s="325"/>
      <c r="DZ261" s="325"/>
      <c r="EA261" s="325"/>
      <c r="EB261" s="325"/>
      <c r="EC261" s="325"/>
      <c r="ED261" s="325"/>
      <c r="EE261" s="325"/>
      <c r="EF261" s="325"/>
      <c r="EG261" s="325"/>
      <c r="EH261" s="325"/>
      <c r="EI261" s="325"/>
      <c r="EJ261" s="325"/>
      <c r="EK261" s="1072"/>
      <c r="EL261" s="1072"/>
      <c r="EM261" s="1072"/>
      <c r="EN261" s="1072"/>
      <c r="EO261" s="1072"/>
      <c r="EP261" s="1072"/>
      <c r="EQ261" s="1072"/>
      <c r="ER261" s="325"/>
      <c r="ES261" s="325"/>
      <c r="ET261" s="325"/>
      <c r="EU261" s="325"/>
      <c r="EV261" s="325"/>
      <c r="EW261" s="325"/>
      <c r="EX261" s="325"/>
      <c r="EY261" s="325"/>
      <c r="EZ261" s="325"/>
      <c r="FA261" s="325"/>
      <c r="FB261" s="325"/>
      <c r="FC261" s="325"/>
      <c r="FD261" s="325"/>
      <c r="FE261" s="325"/>
      <c r="FF261" s="325"/>
      <c r="FG261" s="325"/>
      <c r="FH261" s="325"/>
      <c r="FI261" s="325"/>
      <c r="FJ261" s="325"/>
      <c r="FK261" s="325"/>
      <c r="FL261" s="325"/>
      <c r="FM261" s="325"/>
      <c r="FN261" s="325"/>
      <c r="FO261" s="325"/>
      <c r="FP261" s="325"/>
      <c r="FQ261" s="325"/>
      <c r="FR261" s="325"/>
      <c r="FS261" s="325"/>
      <c r="FT261" s="325"/>
      <c r="FU261" s="325"/>
      <c r="FV261" s="325"/>
      <c r="FW261" s="325"/>
      <c r="FX261" s="325"/>
      <c r="FY261" s="325"/>
      <c r="FZ261" s="325"/>
      <c r="GA261" s="325"/>
      <c r="GB261" s="325"/>
      <c r="GC261" s="325"/>
      <c r="GD261" s="325"/>
      <c r="GE261" s="325"/>
      <c r="GF261" s="325"/>
      <c r="GG261" s="325"/>
      <c r="GH261" s="325"/>
      <c r="GI261" s="325"/>
      <c r="GJ261" s="325"/>
      <c r="GK261" s="325"/>
      <c r="GL261" s="325"/>
      <c r="GM261" s="325"/>
      <c r="GN261" s="325"/>
      <c r="GO261" s="325"/>
      <c r="GP261" s="325"/>
      <c r="GQ261" s="325"/>
      <c r="GR261" s="325"/>
      <c r="GS261" s="325"/>
      <c r="GT261" s="325"/>
      <c r="GU261" s="325"/>
      <c r="GV261" s="325"/>
      <c r="GW261" s="325"/>
      <c r="GX261" s="325"/>
      <c r="GY261" s="325"/>
      <c r="GZ261" s="325"/>
      <c r="HA261" s="325"/>
      <c r="HB261" s="325"/>
      <c r="HC261" s="325"/>
      <c r="HD261" s="325"/>
      <c r="HE261" s="325"/>
      <c r="HF261" s="325"/>
      <c r="HG261" s="325"/>
      <c r="HH261" s="325"/>
      <c r="HI261" s="325"/>
      <c r="HJ261" s="325"/>
      <c r="HK261" s="325"/>
      <c r="HL261" s="325"/>
      <c r="HM261" s="325"/>
      <c r="HN261" s="325"/>
    </row>
    <row r="262" spans="2:222" ht="40.4" customHeight="1" x14ac:dyDescent="0.35">
      <c r="B262" s="363" t="s">
        <v>817</v>
      </c>
      <c r="C262" s="465">
        <f>(C41*3+C39*3)</f>
        <v>90</v>
      </c>
      <c r="D262" s="993" t="s">
        <v>103</v>
      </c>
      <c r="E262" s="993"/>
      <c r="F262" s="991" t="str">
        <f>IF($F$261=$C$72,D262,VLOOKUP(B262,Auto_fundament[],VLOOKUP($X$30,Type_Tung_Middel_Let[],2,0),0))</f>
        <v>Linjefundament</v>
      </c>
      <c r="G262" s="991"/>
      <c r="H262" s="351" t="str">
        <f>IFERROR(IF(VLOOKUP(B262&amp;"_"&amp;F262,'LCA data'!$B$7:$X$200,2,FALSE)&lt;$Y$24,1,0)+IF(VLOOKUP(B262&amp;"_"&amp;F262,'LCA data'!$B$7:$X$200,2,FALSE)*2&lt;$Y$24,1,0),"")</f>
        <v/>
      </c>
      <c r="I262" s="993" t="s">
        <v>103</v>
      </c>
      <c r="J262" s="993"/>
      <c r="K262" s="991" t="str">
        <f>IF($K$261=$C$72,I262,VLOOKUP(B262,Auto_fundament[],VLOOKUP($Y$30,Type_Tung_Middel_Let[],2,0),0))</f>
        <v>Skruefundament</v>
      </c>
      <c r="L262" s="991"/>
      <c r="M262" s="515" t="str">
        <f>IFERROR(IF(VLOOKUP(B262&amp;"_"&amp;K262,'LCA data'!$B$7:$X$200,2,FALSE)&lt;$Y$24,1,0)+IF(VLOOKUP(B262&amp;"_"&amp;K262,'LCA data'!$B$7:$X$200,2,FALSE)*2&lt;$Y$24,1,0),"")</f>
        <v/>
      </c>
      <c r="N262" s="364">
        <f>W261/1000</f>
        <v>15.295499999999999</v>
      </c>
      <c r="O262" s="880">
        <f>SUM(N262:N265)</f>
        <v>15.295499999999999</v>
      </c>
      <c r="P262" s="365">
        <f>X261/1000</f>
        <v>4.8941999999999997</v>
      </c>
      <c r="Q262" s="888">
        <f>SUM(P262:P265)</f>
        <v>4.8941999999999997</v>
      </c>
      <c r="R262" s="192"/>
      <c r="S262" s="196"/>
      <c r="U262" s="251"/>
      <c r="V262" s="251"/>
      <c r="W262" s="323"/>
      <c r="X262" s="323"/>
      <c r="Y262" s="323"/>
      <c r="Z262" s="323"/>
      <c r="AA262" s="323" t="s">
        <v>5</v>
      </c>
      <c r="AB262" s="323">
        <f>AG262/$J$21/$Y$24*1000</f>
        <v>0.24470999999999998</v>
      </c>
      <c r="AC262" s="323">
        <f>Varmetab!I137</f>
        <v>0</v>
      </c>
      <c r="AD262" s="323">
        <f>AB262+AC262</f>
        <v>0.24470999999999998</v>
      </c>
      <c r="AE262" s="323" t="s">
        <v>5</v>
      </c>
      <c r="AF262" s="323"/>
      <c r="AG262" s="323">
        <f>X260/1000</f>
        <v>4.8941999999999997</v>
      </c>
      <c r="AH262" s="323"/>
      <c r="AI262" s="323" t="s">
        <v>743</v>
      </c>
      <c r="AJ262" s="323">
        <f>SUM(AJ261)</f>
        <v>229411.50029999999</v>
      </c>
      <c r="AK262" s="323">
        <f>SUM(AK261)</f>
        <v>204061.43340000004</v>
      </c>
      <c r="AL262" s="323"/>
      <c r="AM262" s="323"/>
      <c r="AN262" s="323">
        <f>IF(F262="Angiv ikke",0,(VLOOKUP(B262&amp;"_"&amp;F262,'LCA data'!$B$7:$X$360,9,FALSE)))*B261</f>
        <v>-1201.5</v>
      </c>
      <c r="AO262" s="323">
        <f>IF(K262="Angiv ikke",0,(VLOOKUP(B262&amp;"_"&amp;K262,'LCA data'!$B$7:$X$360,9,FALSE)))*B261</f>
        <v>-2655</v>
      </c>
      <c r="AP262" s="323"/>
      <c r="AQ262" s="323"/>
      <c r="AR262" s="323">
        <f>IF(F262="Angiv ikke",0,(VLOOKUP(B262&amp;"_"&amp;F262,'LCA data'!$B$7:$AA$360,24,FALSE)))*B261</f>
        <v>0</v>
      </c>
      <c r="AS262" s="323">
        <f>IF(K262="Angiv ikke",0,(VLOOKUP(B262&amp;"_"&amp;K262,'LCA data'!$B$7:$AA$360,24,FALSE)))*B261</f>
        <v>1241.0999999999999</v>
      </c>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c r="BN262" s="323"/>
      <c r="BO262" s="323"/>
      <c r="BP262" s="323"/>
      <c r="BQ262" s="323"/>
      <c r="BR262" s="323"/>
      <c r="BS262" s="323"/>
      <c r="BT262" s="323"/>
      <c r="BU262" s="323"/>
      <c r="BV262" s="323"/>
      <c r="BW262" s="323"/>
      <c r="BX262" s="323"/>
      <c r="BY262" s="323"/>
      <c r="BZ262" s="323"/>
      <c r="CA262" s="323"/>
      <c r="CB262" s="323"/>
      <c r="CC262" s="323"/>
      <c r="CD262" s="323"/>
      <c r="CE262" s="323"/>
      <c r="CF262" s="323"/>
      <c r="CG262" s="323"/>
      <c r="CH262" s="323"/>
      <c r="CI262" s="323"/>
      <c r="CJ262" s="323"/>
      <c r="CK262" s="323"/>
      <c r="CL262" s="323"/>
      <c r="CM262" s="323"/>
      <c r="CN262" s="323"/>
      <c r="CO262" s="323"/>
      <c r="CP262" s="439"/>
      <c r="CQ262" s="440"/>
      <c r="CR262" s="323"/>
      <c r="CS262" s="323"/>
      <c r="CT262" s="323"/>
      <c r="CU262" s="323"/>
      <c r="CV262" s="323"/>
      <c r="CW262" s="323"/>
      <c r="CX262" s="323"/>
      <c r="CY262" s="323"/>
      <c r="CZ262" s="323"/>
      <c r="EK262" s="1070"/>
      <c r="EL262" s="1070"/>
      <c r="EM262" s="1070"/>
      <c r="EN262" s="1070"/>
      <c r="EO262" s="1070"/>
      <c r="EP262" s="1070"/>
      <c r="EQ262" s="1070"/>
    </row>
    <row r="263" spans="2:222" ht="40" customHeight="1" x14ac:dyDescent="0.35">
      <c r="B263" s="563" t="s">
        <v>1103</v>
      </c>
      <c r="C263" s="684" t="s">
        <v>771</v>
      </c>
      <c r="D263" s="1078"/>
      <c r="E263" s="1079"/>
      <c r="F263" s="677"/>
      <c r="G263" s="677"/>
      <c r="H263" s="677"/>
      <c r="I263" s="674"/>
      <c r="J263" s="675"/>
      <c r="K263" s="678"/>
      <c r="L263" s="678"/>
      <c r="M263" s="678"/>
      <c r="N263" s="679"/>
      <c r="O263" s="878"/>
      <c r="P263" s="680"/>
      <c r="Q263" s="889"/>
      <c r="R263" s="192"/>
      <c r="S263" s="196"/>
      <c r="U263" s="251"/>
      <c r="V263" s="251"/>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323"/>
      <c r="CE263" s="323"/>
      <c r="CF263" s="323"/>
      <c r="CG263" s="323"/>
      <c r="CH263" s="323"/>
      <c r="CI263" s="323"/>
      <c r="CJ263" s="323"/>
      <c r="CK263" s="323"/>
      <c r="CL263" s="323"/>
      <c r="CM263" s="323"/>
      <c r="CN263" s="323"/>
      <c r="CO263" s="323"/>
      <c r="CP263" s="439"/>
      <c r="CQ263" s="440"/>
      <c r="CR263" s="323"/>
      <c r="CS263" s="323"/>
      <c r="CT263" s="323"/>
      <c r="CU263" s="323"/>
      <c r="CV263" s="323"/>
      <c r="CW263" s="323"/>
      <c r="CX263" s="323"/>
      <c r="CY263" s="323"/>
      <c r="CZ263" s="323"/>
      <c r="EK263" s="1070"/>
      <c r="EL263" s="1070"/>
      <c r="EM263" s="1070"/>
      <c r="EN263" s="1070"/>
      <c r="EO263" s="1070"/>
      <c r="EP263" s="1070"/>
      <c r="EQ263" s="1070"/>
    </row>
    <row r="264" spans="2:222" ht="15" customHeight="1" thickBot="1" x14ac:dyDescent="0.4">
      <c r="B264" s="383"/>
      <c r="C264" s="384"/>
      <c r="D264" s="989"/>
      <c r="E264" s="988"/>
      <c r="F264" s="988"/>
      <c r="G264" s="988"/>
      <c r="H264" s="355" t="str">
        <f>IFERROR(IF(VLOOKUP(B264&amp;"_"&amp;E264,'LCA data'!$B$7:$X$200,2,FALSE)&lt;$Y$24,1,0)+IF(VLOOKUP(B264&amp;"_"&amp;E264,'LCA data'!$B$7:$X$200,2,FALSE)*2&lt;$Y$24,1,0),"")</f>
        <v/>
      </c>
      <c r="I264" s="986"/>
      <c r="J264" s="987"/>
      <c r="K264" s="985" t="str">
        <f>IFERROR(IF(VLOOKUP(#REF!&amp;"_"&amp;H264,'LCA data'!$B$7:$X$200,2,FALSE)&lt;$Y$24,1,0)+IF(VLOOKUP(#REF!&amp;"_"&amp;H264,'LCA data'!$B$7:$X$200,2,FALSE)*2&lt;$Y$24,1,0),"")</f>
        <v/>
      </c>
      <c r="L264" s="985"/>
      <c r="M264" s="520" t="str">
        <f>IFERROR(IF(VLOOKUP(B264&amp;"_"&amp;J264,'LCA data'!$B$7:$X$200,2,FALSE)&lt;$Y$24,1,0)+IF(VLOOKUP(B264&amp;"_"&amp;J264,'LCA data'!$B$7:$X$200,2,FALSE)*2&lt;$Y$24,1,0),"")</f>
        <v/>
      </c>
      <c r="N264" s="210"/>
      <c r="O264" s="879"/>
      <c r="P264" s="211"/>
      <c r="Q264" s="890"/>
      <c r="R264" s="212"/>
      <c r="S264" s="213"/>
      <c r="U264" s="251"/>
      <c r="V264" s="251"/>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c r="BN264" s="323"/>
      <c r="BO264" s="323"/>
      <c r="BP264" s="323"/>
      <c r="BQ264" s="323"/>
      <c r="BR264" s="323"/>
      <c r="BS264" s="323"/>
      <c r="BT264" s="323"/>
      <c r="BU264" s="323"/>
      <c r="BV264" s="323"/>
      <c r="BW264" s="323"/>
      <c r="BX264" s="323"/>
      <c r="BY264" s="323"/>
      <c r="BZ264" s="323"/>
      <c r="CA264" s="323"/>
      <c r="CB264" s="323"/>
      <c r="CC264" s="323"/>
      <c r="CD264" s="323"/>
      <c r="CE264" s="323"/>
      <c r="CF264" s="323"/>
      <c r="CG264" s="323"/>
      <c r="CH264" s="323"/>
      <c r="CI264" s="323"/>
      <c r="CJ264" s="323"/>
      <c r="CK264" s="323"/>
      <c r="CL264" s="323"/>
      <c r="CM264" s="323"/>
      <c r="CN264" s="323"/>
      <c r="CO264" s="323"/>
      <c r="CP264" s="439"/>
      <c r="CQ264" s="440"/>
      <c r="CR264" s="323"/>
      <c r="CS264" s="323"/>
      <c r="CT264" s="323"/>
      <c r="CU264" s="323"/>
      <c r="CV264" s="323"/>
      <c r="CW264" s="323"/>
      <c r="CX264" s="323"/>
      <c r="CY264" s="323"/>
      <c r="CZ264" s="323"/>
      <c r="EK264" s="1070"/>
      <c r="EL264" s="1070"/>
      <c r="EM264" s="1070"/>
      <c r="EN264" s="1070"/>
      <c r="EO264" s="1070"/>
      <c r="EP264" s="1070"/>
      <c r="EQ264" s="1070"/>
    </row>
    <row r="265" spans="2:222" ht="13.5" customHeight="1" x14ac:dyDescent="0.35">
      <c r="B265" s="173" t="s">
        <v>118</v>
      </c>
      <c r="N265" s="218"/>
      <c r="P265" s="216"/>
      <c r="R265" s="217"/>
      <c r="U265" s="251"/>
      <c r="V265" s="251"/>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c r="BM265" s="323"/>
      <c r="BN265" s="323"/>
      <c r="BO265" s="323"/>
      <c r="BP265" s="323"/>
      <c r="BQ265" s="323"/>
      <c r="BR265" s="323"/>
      <c r="BS265" s="323"/>
      <c r="BT265" s="323"/>
      <c r="BU265" s="323"/>
      <c r="BV265" s="323"/>
      <c r="BW265" s="323"/>
      <c r="BX265" s="323"/>
      <c r="BY265" s="323"/>
      <c r="BZ265" s="323"/>
      <c r="CA265" s="323"/>
      <c r="CB265" s="323"/>
      <c r="CC265" s="323"/>
      <c r="CD265" s="323"/>
      <c r="CE265" s="323"/>
      <c r="CF265" s="323"/>
      <c r="CG265" s="323"/>
      <c r="CH265" s="323"/>
      <c r="CI265" s="323"/>
      <c r="CJ265" s="323"/>
      <c r="CK265" s="323"/>
      <c r="CL265" s="323"/>
      <c r="CM265" s="323"/>
      <c r="CN265" s="323"/>
      <c r="CO265" s="323"/>
      <c r="CP265" s="439"/>
      <c r="CQ265" s="440"/>
      <c r="CR265" s="323"/>
      <c r="CS265" s="323"/>
      <c r="CT265" s="323"/>
      <c r="CU265" s="323"/>
      <c r="CV265" s="323"/>
      <c r="CW265" s="323"/>
      <c r="CX265" s="323"/>
      <c r="CY265" s="323"/>
      <c r="CZ265" s="323"/>
      <c r="EK265" s="1070"/>
      <c r="EL265" s="1070"/>
      <c r="EM265" s="1070"/>
      <c r="EN265" s="1070"/>
      <c r="EO265" s="1070"/>
      <c r="EP265" s="1070"/>
      <c r="EQ265" s="1070"/>
    </row>
    <row r="266" spans="2:222" ht="12.5" customHeight="1" x14ac:dyDescent="0.35">
      <c r="B266" s="555"/>
      <c r="C266" s="555"/>
      <c r="D266" s="542"/>
      <c r="E266" s="555"/>
      <c r="F266" s="555"/>
      <c r="G266" s="555"/>
      <c r="H266" s="555"/>
      <c r="I266" s="542"/>
      <c r="J266" s="555"/>
      <c r="K266" s="555"/>
      <c r="L266" s="555"/>
      <c r="M266" s="555"/>
      <c r="R266" s="217"/>
      <c r="S266" s="217"/>
      <c r="U266" s="251"/>
      <c r="V266" s="251"/>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c r="BM266" s="323"/>
      <c r="BN266" s="323"/>
      <c r="BO266" s="323"/>
      <c r="BP266" s="323"/>
      <c r="BQ266" s="323"/>
      <c r="BR266" s="323"/>
      <c r="BS266" s="323"/>
      <c r="BT266" s="323"/>
      <c r="BU266" s="323"/>
      <c r="BV266" s="323"/>
      <c r="BW266" s="323"/>
      <c r="BX266" s="323"/>
      <c r="BY266" s="323"/>
      <c r="BZ266" s="323"/>
      <c r="CA266" s="323"/>
      <c r="CB266" s="323"/>
      <c r="CC266" s="323"/>
      <c r="CD266" s="323"/>
      <c r="CE266" s="323"/>
      <c r="CF266" s="323"/>
      <c r="CG266" s="323"/>
      <c r="CH266" s="323"/>
      <c r="CI266" s="323"/>
      <c r="CJ266" s="323"/>
      <c r="CK266" s="323"/>
      <c r="CL266" s="323"/>
      <c r="CM266" s="323"/>
      <c r="CN266" s="323"/>
      <c r="CO266" s="323"/>
      <c r="CP266" s="440"/>
      <c r="CQ266" s="440"/>
      <c r="CR266" s="323"/>
      <c r="CS266" s="323"/>
      <c r="CT266" s="323"/>
      <c r="CU266" s="323"/>
      <c r="CV266" s="323"/>
      <c r="CW266" s="323"/>
      <c r="CX266" s="323"/>
      <c r="CY266" s="323"/>
      <c r="CZ266" s="323"/>
      <c r="EK266" s="1070"/>
      <c r="EL266" s="1070"/>
      <c r="EM266" s="1070"/>
      <c r="EN266" s="1070"/>
      <c r="EO266" s="1070"/>
      <c r="EP266" s="1070"/>
      <c r="EQ266" s="1070"/>
    </row>
    <row r="267" spans="2:222" ht="12.5" customHeight="1" x14ac:dyDescent="0.35">
      <c r="B267" s="373"/>
      <c r="C267" s="373"/>
      <c r="E267" s="373"/>
      <c r="F267" s="373"/>
      <c r="G267" s="373"/>
      <c r="H267" s="373"/>
      <c r="J267" s="373"/>
      <c r="K267" s="373"/>
      <c r="L267" s="373"/>
      <c r="M267" s="373"/>
      <c r="R267" s="217"/>
      <c r="S267" s="217"/>
      <c r="U267" s="251"/>
      <c r="V267" s="251"/>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c r="BM267" s="323"/>
      <c r="BN267" s="323"/>
      <c r="BO267" s="323"/>
      <c r="BP267" s="323"/>
      <c r="BQ267" s="323"/>
      <c r="BR267" s="323"/>
      <c r="BS267" s="323"/>
      <c r="BT267" s="323"/>
      <c r="BU267" s="323"/>
      <c r="BV267" s="323"/>
      <c r="BW267" s="323"/>
      <c r="BX267" s="323"/>
      <c r="BY267" s="323"/>
      <c r="BZ267" s="323"/>
      <c r="CA267" s="323"/>
      <c r="CB267" s="323"/>
      <c r="CC267" s="323"/>
      <c r="CD267" s="323"/>
      <c r="CE267" s="323"/>
      <c r="CF267" s="323"/>
      <c r="CG267" s="323"/>
      <c r="CH267" s="323"/>
      <c r="CI267" s="323"/>
      <c r="CJ267" s="323"/>
      <c r="CK267" s="323"/>
      <c r="CL267" s="323"/>
      <c r="CM267" s="323"/>
      <c r="CN267" s="323"/>
      <c r="CO267" s="323"/>
      <c r="CP267" s="440"/>
      <c r="CQ267" s="440"/>
      <c r="CR267" s="323"/>
      <c r="CS267" s="323"/>
      <c r="CT267" s="323"/>
      <c r="CU267" s="323"/>
      <c r="CV267" s="323"/>
      <c r="CW267" s="323"/>
      <c r="CX267" s="323"/>
      <c r="CY267" s="323"/>
      <c r="CZ267" s="323"/>
      <c r="EK267" s="1070"/>
      <c r="EL267" s="1070"/>
      <c r="EM267" s="1070"/>
      <c r="EN267" s="1070"/>
      <c r="EO267" s="1070"/>
      <c r="EP267" s="1070"/>
      <c r="EQ267" s="1070"/>
    </row>
    <row r="268" spans="2:222" ht="12.5" customHeight="1" x14ac:dyDescent="0.35">
      <c r="B268" s="373"/>
      <c r="C268" s="373"/>
      <c r="E268" s="373"/>
      <c r="F268" s="373"/>
      <c r="G268" s="373"/>
      <c r="H268" s="373"/>
      <c r="J268" s="373"/>
      <c r="K268" s="373"/>
      <c r="L268" s="373"/>
      <c r="M268" s="373"/>
      <c r="R268" s="217"/>
      <c r="S268" s="217"/>
      <c r="U268" s="251"/>
      <c r="V268" s="251"/>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c r="BM268" s="323"/>
      <c r="BN268" s="323"/>
      <c r="BO268" s="323"/>
      <c r="BP268" s="323"/>
      <c r="BQ268" s="323"/>
      <c r="BR268" s="323"/>
      <c r="BS268" s="323"/>
      <c r="BT268" s="323"/>
      <c r="BU268" s="323"/>
      <c r="BV268" s="323"/>
      <c r="BW268" s="323"/>
      <c r="BX268" s="323"/>
      <c r="BY268" s="323"/>
      <c r="BZ268" s="323"/>
      <c r="CA268" s="323"/>
      <c r="CB268" s="323"/>
      <c r="CC268" s="323"/>
      <c r="CD268" s="323"/>
      <c r="CE268" s="323"/>
      <c r="CF268" s="323"/>
      <c r="CG268" s="323"/>
      <c r="CH268" s="323"/>
      <c r="CI268" s="323"/>
      <c r="CJ268" s="323"/>
      <c r="CK268" s="323"/>
      <c r="CL268" s="323"/>
      <c r="CM268" s="323"/>
      <c r="CN268" s="323"/>
      <c r="CO268" s="323"/>
      <c r="CP268" s="440"/>
      <c r="CQ268" s="440"/>
      <c r="CR268" s="323"/>
      <c r="CS268" s="323"/>
      <c r="CT268" s="323"/>
      <c r="CU268" s="323"/>
      <c r="CV268" s="323"/>
      <c r="CW268" s="323"/>
      <c r="CX268" s="323"/>
      <c r="CY268" s="323"/>
      <c r="CZ268" s="323"/>
      <c r="EK268" s="1070"/>
      <c r="EL268" s="1070"/>
      <c r="EM268" s="1070"/>
      <c r="EN268" s="1070"/>
      <c r="EO268" s="1070"/>
      <c r="EP268" s="1070"/>
      <c r="EQ268" s="1070"/>
    </row>
    <row r="269" spans="2:222" ht="12.5" customHeight="1" x14ac:dyDescent="0.35">
      <c r="B269" s="373"/>
      <c r="C269" s="373"/>
      <c r="E269" s="373"/>
      <c r="F269" s="373"/>
      <c r="G269" s="373"/>
      <c r="H269" s="373"/>
      <c r="J269" s="373"/>
      <c r="K269" s="373"/>
      <c r="L269" s="373"/>
      <c r="M269" s="373"/>
      <c r="R269" s="217"/>
      <c r="S269" s="217"/>
      <c r="U269" s="251"/>
      <c r="V269" s="251"/>
      <c r="W269" s="323">
        <f>VLOOKUP(B262&amp;"_"&amp;F262,'LCA data'!$B$7:$X$360,8,0)</f>
        <v>169.95</v>
      </c>
      <c r="X269" s="323" t="e">
        <f>IF(F262="Angiv ikke",0,((1+H262)*VLOOKUP(B262&amp;"_"&amp;F262,'LCA data'!$B$7:$X$360,8,0)*B261))</f>
        <v>#VALUE!</v>
      </c>
      <c r="Y269" s="323">
        <f>IF(F262="Angiv ikke",0,(VLOOKUP(B262&amp;"_"&amp;F262,'LCA data'!$B$7:$X$360,8,0)))</f>
        <v>169.95</v>
      </c>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c r="BM269" s="323"/>
      <c r="BN269" s="323"/>
      <c r="BO269" s="323"/>
      <c r="BP269" s="323"/>
      <c r="BQ269" s="323"/>
      <c r="BR269" s="323"/>
      <c r="BS269" s="323"/>
      <c r="BT269" s="323"/>
      <c r="BU269" s="323"/>
      <c r="BV269" s="323"/>
      <c r="BW269" s="323"/>
      <c r="BX269" s="323"/>
      <c r="BY269" s="323"/>
      <c r="BZ269" s="323"/>
      <c r="CA269" s="323"/>
      <c r="CB269" s="323"/>
      <c r="CC269" s="323"/>
      <c r="CD269" s="323"/>
      <c r="CE269" s="323"/>
      <c r="CF269" s="323"/>
      <c r="CG269" s="323"/>
      <c r="CH269" s="323"/>
      <c r="CI269" s="323"/>
      <c r="CJ269" s="323"/>
      <c r="CK269" s="323"/>
      <c r="CL269" s="323"/>
      <c r="CM269" s="323"/>
      <c r="CN269" s="323"/>
      <c r="CO269" s="323"/>
      <c r="CP269" s="440"/>
      <c r="CQ269" s="440"/>
      <c r="CR269" s="323"/>
      <c r="CS269" s="323"/>
      <c r="CT269" s="323"/>
      <c r="CU269" s="323"/>
      <c r="CV269" s="323"/>
      <c r="CW269" s="323"/>
      <c r="CX269" s="323"/>
      <c r="CY269" s="323"/>
      <c r="CZ269" s="323"/>
      <c r="EK269" s="1070"/>
      <c r="EL269" s="1070"/>
      <c r="EM269" s="1070"/>
      <c r="EN269" s="1070"/>
      <c r="EO269" s="1070"/>
      <c r="EP269" s="1070"/>
      <c r="EQ269" s="1070"/>
    </row>
    <row r="270" spans="2:222" ht="12.5" customHeight="1" x14ac:dyDescent="0.35">
      <c r="B270" s="373"/>
      <c r="C270" s="373"/>
      <c r="E270" s="373"/>
      <c r="F270" s="373"/>
      <c r="G270" s="373"/>
      <c r="H270" s="373"/>
      <c r="J270" s="373"/>
      <c r="K270" s="373"/>
      <c r="L270" s="373"/>
      <c r="M270" s="373"/>
      <c r="R270" s="217"/>
      <c r="S270" s="217"/>
      <c r="U270" s="251"/>
      <c r="V270" s="251"/>
      <c r="W270" s="323"/>
      <c r="X270" s="323"/>
      <c r="Y270" s="323">
        <f>IF(F262="Angiv ikke",0,(VLOOKUP(B262&amp;"_"&amp;F262,'LCA data'!$B$7:$X$360,8,0)))*B261</f>
        <v>15295.499999999998</v>
      </c>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c r="BN270" s="323"/>
      <c r="BO270" s="323"/>
      <c r="BP270" s="323"/>
      <c r="BQ270" s="323"/>
      <c r="BR270" s="323"/>
      <c r="BS270" s="323"/>
      <c r="BT270" s="323"/>
      <c r="BU270" s="323"/>
      <c r="BV270" s="323"/>
      <c r="BW270" s="323"/>
      <c r="BX270" s="323"/>
      <c r="BY270" s="323"/>
      <c r="BZ270" s="323"/>
      <c r="CA270" s="323"/>
      <c r="CB270" s="323"/>
      <c r="CC270" s="323"/>
      <c r="CD270" s="323"/>
      <c r="CE270" s="323"/>
      <c r="CF270" s="323"/>
      <c r="CG270" s="323"/>
      <c r="CH270" s="323"/>
      <c r="CI270" s="323"/>
      <c r="CJ270" s="323"/>
      <c r="CK270" s="323"/>
      <c r="CL270" s="323"/>
      <c r="CM270" s="323"/>
      <c r="CN270" s="323"/>
      <c r="CO270" s="323"/>
      <c r="CP270" s="440"/>
      <c r="CQ270" s="440"/>
      <c r="CR270" s="323"/>
      <c r="CS270" s="323"/>
      <c r="CT270" s="323"/>
      <c r="CU270" s="323"/>
      <c r="CV270" s="323"/>
      <c r="CW270" s="323"/>
      <c r="CX270" s="323"/>
      <c r="CY270" s="323"/>
      <c r="CZ270" s="323"/>
      <c r="EK270" s="1070"/>
      <c r="EL270" s="1070"/>
      <c r="EM270" s="1070"/>
      <c r="EN270" s="1070"/>
      <c r="EO270" s="1070"/>
      <c r="EP270" s="1070"/>
      <c r="EQ270" s="1070"/>
    </row>
    <row r="271" spans="2:222" ht="12.5" customHeight="1" x14ac:dyDescent="0.35">
      <c r="B271" s="373"/>
      <c r="C271" s="373"/>
      <c r="E271" s="373"/>
      <c r="F271" s="373"/>
      <c r="G271" s="373"/>
      <c r="H271" s="373"/>
      <c r="J271" s="373"/>
      <c r="K271" s="373"/>
      <c r="L271" s="373"/>
      <c r="M271" s="373"/>
      <c r="R271" s="217"/>
      <c r="S271" s="217"/>
      <c r="U271" s="251"/>
      <c r="V271" s="251"/>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c r="BN271" s="323"/>
      <c r="BO271" s="323"/>
      <c r="BP271" s="323"/>
      <c r="BQ271" s="323"/>
      <c r="BR271" s="323"/>
      <c r="BS271" s="323"/>
      <c r="BT271" s="323"/>
      <c r="BU271" s="323"/>
      <c r="BV271" s="323"/>
      <c r="BW271" s="323"/>
      <c r="BX271" s="323"/>
      <c r="BY271" s="323"/>
      <c r="BZ271" s="323"/>
      <c r="CA271" s="323"/>
      <c r="CB271" s="323"/>
      <c r="CC271" s="323"/>
      <c r="CD271" s="323"/>
      <c r="CE271" s="323"/>
      <c r="CF271" s="323"/>
      <c r="CG271" s="323"/>
      <c r="CH271" s="323"/>
      <c r="CI271" s="323"/>
      <c r="CJ271" s="323"/>
      <c r="CK271" s="323"/>
      <c r="CL271" s="323"/>
      <c r="CM271" s="323"/>
      <c r="CN271" s="323"/>
      <c r="CO271" s="323"/>
      <c r="CP271" s="440"/>
      <c r="CQ271" s="428"/>
      <c r="CR271" s="323"/>
      <c r="CS271" s="323"/>
      <c r="CT271" s="323"/>
      <c r="CU271" s="323"/>
      <c r="CV271" s="323"/>
      <c r="CW271" s="323"/>
      <c r="CX271" s="323"/>
      <c r="CY271" s="323"/>
      <c r="CZ271" s="323"/>
      <c r="EK271" s="1070"/>
      <c r="EL271" s="1070"/>
      <c r="EM271" s="1070"/>
      <c r="EN271" s="1070"/>
      <c r="EO271" s="1070"/>
      <c r="EP271" s="1070"/>
      <c r="EQ271" s="1070"/>
    </row>
    <row r="272" spans="2:222" ht="18.649999999999999" customHeight="1" thickBot="1" x14ac:dyDescent="0.4">
      <c r="B272" s="373"/>
      <c r="C272" s="373"/>
      <c r="E272" s="373"/>
      <c r="F272" s="373"/>
      <c r="G272" s="373"/>
      <c r="H272" s="373"/>
      <c r="J272" s="373"/>
      <c r="K272" s="373"/>
      <c r="L272" s="373"/>
      <c r="M272" s="373"/>
      <c r="R272" s="217"/>
      <c r="S272" s="217"/>
      <c r="U272" s="251"/>
      <c r="V272" s="251"/>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c r="BN272" s="323"/>
      <c r="BO272" s="323"/>
      <c r="BP272" s="323"/>
      <c r="BQ272" s="323"/>
      <c r="BR272" s="323"/>
      <c r="BS272" s="323"/>
      <c r="BT272" s="323"/>
      <c r="BU272" s="323"/>
      <c r="BV272" s="323"/>
      <c r="BW272" s="323"/>
      <c r="BX272" s="323"/>
      <c r="BY272" s="323"/>
      <c r="BZ272" s="323"/>
      <c r="CA272" s="323"/>
      <c r="CB272" s="323"/>
      <c r="CC272" s="323"/>
      <c r="CD272" s="323"/>
      <c r="CE272" s="323"/>
      <c r="CF272" s="323"/>
      <c r="CG272" s="323"/>
      <c r="CH272" s="323"/>
      <c r="CI272" s="323"/>
      <c r="CJ272" s="323"/>
      <c r="CK272" s="323"/>
      <c r="CL272" s="323"/>
      <c r="CM272" s="323"/>
      <c r="CN272" s="323"/>
      <c r="CO272" s="323"/>
      <c r="CP272" s="439"/>
      <c r="CQ272" s="440"/>
      <c r="CR272" s="323"/>
      <c r="CS272" s="323"/>
      <c r="CT272" s="323"/>
      <c r="CU272" s="323"/>
      <c r="CV272" s="323"/>
      <c r="CW272" s="323"/>
      <c r="CX272" s="323"/>
      <c r="CY272" s="323"/>
      <c r="CZ272" s="323"/>
      <c r="EK272" s="1070"/>
      <c r="EL272" s="1070"/>
      <c r="EM272" s="1070"/>
      <c r="EN272" s="1070"/>
      <c r="EO272" s="1070"/>
      <c r="EP272" s="1070"/>
      <c r="EQ272" s="1070"/>
    </row>
    <row r="273" spans="2:222" ht="42" customHeight="1" x14ac:dyDescent="0.7">
      <c r="B273" s="484" t="s">
        <v>119</v>
      </c>
      <c r="C273" s="481"/>
      <c r="D273" s="481"/>
      <c r="E273" s="481"/>
      <c r="F273" s="481"/>
      <c r="G273" s="481"/>
      <c r="H273" s="481"/>
      <c r="I273" s="481"/>
      <c r="J273" s="483"/>
      <c r="K273" s="481"/>
      <c r="L273" s="481"/>
      <c r="M273" s="481"/>
      <c r="N273" s="481"/>
      <c r="O273" s="481"/>
      <c r="P273" s="481"/>
      <c r="Q273" s="481"/>
      <c r="R273" s="481"/>
      <c r="S273" s="482"/>
      <c r="U273" s="251"/>
      <c r="V273" s="251"/>
      <c r="W273" s="323"/>
      <c r="X273" s="323"/>
      <c r="Y273" s="323"/>
      <c r="Z273" s="323"/>
      <c r="AA273" s="323"/>
      <c r="AB273" s="323"/>
      <c r="AC273" s="323"/>
      <c r="AD273" s="323"/>
      <c r="AE273" s="323"/>
      <c r="AF273" s="323"/>
      <c r="AG273" s="323"/>
      <c r="AH273" s="323"/>
      <c r="AI273" s="323"/>
      <c r="AJ273" s="323" t="s">
        <v>746</v>
      </c>
      <c r="AK273" s="323" t="s">
        <v>747</v>
      </c>
      <c r="AL273" s="323" t="str">
        <f>IFERROR(AJ273+VLOOKUP(B273&amp;"_"&amp;J273,'LCA data'!$B$7:$X$238,2,FALSE),"")</f>
        <v/>
      </c>
      <c r="AM273" s="323" t="str">
        <f>IFERROR(IF(M273-1&gt;0,VLOOKUP(B273&amp;"_"&amp;J273,'LCA data'!$B$7:$X$200,19,FALSE)*(K273*10^3)*C273,""),"")</f>
        <v/>
      </c>
      <c r="AN273" s="323" t="str">
        <f>IFERROR(AL273+VLOOKUP(B273&amp;"_"&amp;J273,'LCA data'!$B$7:$X$238,2,FALSE),"")</f>
        <v/>
      </c>
      <c r="AO273" s="323" t="str">
        <f>IFERROR(IF(M273-2&gt;0,VLOOKUP(B273&amp;"_"&amp;J273,'LCA data'!$B$7:$X$200,19,FALSE)*(K273*10^3)*C273,""),"")</f>
        <v/>
      </c>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c r="BM273" s="323"/>
      <c r="BN273" s="323"/>
      <c r="BO273" s="323"/>
      <c r="BP273" s="323"/>
      <c r="BQ273" s="323"/>
      <c r="BR273" s="323"/>
      <c r="BS273" s="323"/>
      <c r="BT273" s="323"/>
      <c r="BU273" s="323"/>
      <c r="BV273" s="323"/>
      <c r="BW273" s="323"/>
      <c r="BX273" s="323"/>
      <c r="BY273" s="323"/>
      <c r="BZ273" s="323"/>
      <c r="CA273" s="323"/>
      <c r="CB273" s="323"/>
      <c r="CC273" s="323"/>
      <c r="CD273" s="323"/>
      <c r="CE273" s="323"/>
      <c r="CF273" s="323"/>
      <c r="CG273" s="323"/>
      <c r="CH273" s="323"/>
      <c r="CI273" s="323"/>
      <c r="CJ273" s="323"/>
      <c r="CK273" s="323"/>
      <c r="CL273" s="323"/>
      <c r="CM273" s="323"/>
      <c r="CN273" s="323"/>
      <c r="CO273" s="323"/>
      <c r="CP273" s="428"/>
      <c r="CQ273" s="441"/>
      <c r="CR273" s="323"/>
      <c r="CS273" s="323"/>
      <c r="CT273" s="323"/>
      <c r="CU273" s="323"/>
      <c r="CV273" s="323"/>
      <c r="CW273" s="323"/>
      <c r="CX273" s="323"/>
      <c r="CY273" s="323"/>
      <c r="CZ273" s="323"/>
      <c r="EK273" s="1070"/>
      <c r="EL273" s="1070"/>
      <c r="EM273" s="1070"/>
      <c r="EN273" s="1070"/>
      <c r="EO273" s="1070"/>
      <c r="EP273" s="1070"/>
      <c r="EQ273" s="1070"/>
    </row>
    <row r="274" spans="2:222" ht="13.4" customHeight="1" x14ac:dyDescent="0.35">
      <c r="B274" s="242"/>
      <c r="C274" s="373"/>
      <c r="E274" s="373"/>
      <c r="F274" s="373"/>
      <c r="G274" s="373"/>
      <c r="H274" s="373"/>
      <c r="J274" s="373"/>
      <c r="K274" s="373"/>
      <c r="L274" s="373"/>
      <c r="M274" s="373"/>
      <c r="R274" s="217"/>
      <c r="S274" s="227"/>
      <c r="U274" s="251"/>
      <c r="V274" s="251"/>
      <c r="W274" s="323"/>
      <c r="X274" s="323"/>
      <c r="Y274" s="323"/>
      <c r="Z274" s="323"/>
      <c r="AA274" s="323"/>
      <c r="AB274" s="323"/>
      <c r="AC274" s="323"/>
      <c r="AD274" s="323"/>
      <c r="AE274" s="323"/>
      <c r="AF274" s="323"/>
      <c r="AG274" s="323"/>
      <c r="AH274" s="323"/>
      <c r="AI274" s="323" t="s">
        <v>749</v>
      </c>
      <c r="AJ274" s="323">
        <f>AJ284+AJ294+AJ303+AJ312+AJ321</f>
        <v>318860.78399999999</v>
      </c>
      <c r="AK274" s="323">
        <f>AK284+AK294+AK303+AK312+AK321</f>
        <v>318860.78399999999</v>
      </c>
      <c r="AL274" s="323" t="str">
        <f>IFERROR(AJ274+VLOOKUP(B274&amp;"_"&amp;J274,'LCA data'!$B$7:$X$238,2,FALSE),"")</f>
        <v/>
      </c>
      <c r="AM274" s="323" t="str">
        <f>IFERROR(IF(M274-1&gt;0,VLOOKUP(B274&amp;"_"&amp;J274,'LCA data'!$B$7:$X$200,19,FALSE)*(K274*10^3)*C274,""),"")</f>
        <v/>
      </c>
      <c r="AN274" s="323" t="str">
        <f>IFERROR(AL274+VLOOKUP(B274&amp;"_"&amp;J274,'LCA data'!$B$7:$X$238,2,FALSE),"")</f>
        <v/>
      </c>
      <c r="AO274" s="323" t="str">
        <f>IFERROR(IF(M274-2&gt;0,VLOOKUP(B274&amp;"_"&amp;J274,'LCA data'!$B$7:$X$200,19,FALSE)*(K274*10^3)*C274,""),"")</f>
        <v/>
      </c>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c r="BM274" s="323"/>
      <c r="BN274" s="323"/>
      <c r="BO274" s="323"/>
      <c r="BP274" s="323"/>
      <c r="BQ274" s="323"/>
      <c r="BR274" s="323"/>
      <c r="BS274" s="323"/>
      <c r="BT274" s="323"/>
      <c r="BU274" s="323"/>
      <c r="BV274" s="323"/>
      <c r="BW274" s="323"/>
      <c r="BX274" s="323"/>
      <c r="BY274" s="323"/>
      <c r="BZ274" s="323"/>
      <c r="CA274" s="323"/>
      <c r="CB274" s="323"/>
      <c r="CC274" s="323"/>
      <c r="CD274" s="323"/>
      <c r="CE274" s="323"/>
      <c r="CF274" s="323"/>
      <c r="CG274" s="323"/>
      <c r="CH274" s="323"/>
      <c r="CI274" s="323"/>
      <c r="CJ274" s="323"/>
      <c r="CK274" s="323"/>
      <c r="CL274" s="323"/>
      <c r="CM274" s="323"/>
      <c r="CN274" s="323"/>
      <c r="CO274" s="323"/>
      <c r="CP274" s="428"/>
      <c r="CQ274" s="441"/>
      <c r="CR274" s="323"/>
      <c r="CS274" s="323"/>
      <c r="CT274" s="323"/>
      <c r="CU274" s="323"/>
      <c r="CV274" s="323"/>
      <c r="CW274" s="323"/>
      <c r="CX274" s="323"/>
      <c r="CY274" s="323"/>
      <c r="CZ274" s="323"/>
      <c r="EK274" s="1070"/>
      <c r="EL274" s="1070"/>
      <c r="EM274" s="1070"/>
      <c r="EN274" s="1070"/>
      <c r="EO274" s="1070"/>
      <c r="EP274" s="1070"/>
      <c r="EQ274" s="1070"/>
    </row>
    <row r="275" spans="2:222" ht="25.4" customHeight="1" x14ac:dyDescent="0.35">
      <c r="B275" s="385"/>
      <c r="C275" s="373"/>
      <c r="E275" s="373"/>
      <c r="F275" s="373"/>
      <c r="G275" s="373"/>
      <c r="H275" s="373"/>
      <c r="J275" s="373"/>
      <c r="K275" s="373"/>
      <c r="L275" s="373"/>
      <c r="M275" s="373"/>
      <c r="R275" s="217"/>
      <c r="S275" s="227"/>
      <c r="U275" s="251"/>
      <c r="V275" s="251"/>
      <c r="W275" s="323"/>
      <c r="X275" s="323"/>
      <c r="Y275" s="323"/>
      <c r="Z275" s="323"/>
      <c r="AA275" s="323"/>
      <c r="AB275" s="323"/>
      <c r="AC275" s="323"/>
      <c r="AD275" s="323"/>
      <c r="AE275" s="323"/>
      <c r="AF275" s="323"/>
      <c r="AG275" s="323"/>
      <c r="AH275" s="323"/>
      <c r="AI275" s="323"/>
      <c r="AJ275" s="323"/>
      <c r="AK275" s="323"/>
      <c r="AL275" s="323" t="str">
        <f>IFERROR(AJ275+VLOOKUP(B275&amp;"_"&amp;J275,'LCA data'!$B$7:$X$238,2,FALSE),"")</f>
        <v/>
      </c>
      <c r="AM275" s="323" t="str">
        <f>IFERROR(IF(M275-1&gt;0,VLOOKUP(B275&amp;"_"&amp;J275,'LCA data'!$B$7:$X$200,19,FALSE)*(K275*10^3)*C275,""),"")</f>
        <v/>
      </c>
      <c r="AN275" s="323" t="str">
        <f>IFERROR(AL275+VLOOKUP(B275&amp;"_"&amp;J275,'LCA data'!$B$7:$X$238,2,FALSE),"")</f>
        <v/>
      </c>
      <c r="AO275" s="323" t="str">
        <f>IFERROR(IF(M275-2&gt;0,VLOOKUP(B275&amp;"_"&amp;J275,'LCA data'!$B$7:$X$200,19,FALSE)*(K275*10^3)*C275,""),"")</f>
        <v/>
      </c>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c r="BM275" s="323"/>
      <c r="BN275" s="323"/>
      <c r="BO275" s="323"/>
      <c r="BP275" s="323"/>
      <c r="BQ275" s="323"/>
      <c r="BR275" s="323"/>
      <c r="BS275" s="323"/>
      <c r="BT275" s="323"/>
      <c r="BU275" s="323"/>
      <c r="BV275" s="323"/>
      <c r="BW275" s="323"/>
      <c r="BX275" s="323"/>
      <c r="BY275" s="323"/>
      <c r="BZ275" s="323"/>
      <c r="CA275" s="323"/>
      <c r="CB275" s="323"/>
      <c r="CC275" s="323"/>
      <c r="CD275" s="323"/>
      <c r="CE275" s="323"/>
      <c r="CF275" s="323"/>
      <c r="CG275" s="323"/>
      <c r="CH275" s="323"/>
      <c r="CI275" s="323"/>
      <c r="CJ275" s="323"/>
      <c r="CK275" s="323"/>
      <c r="CL275" s="323"/>
      <c r="CM275" s="323"/>
      <c r="CN275" s="323"/>
      <c r="CO275" s="323"/>
      <c r="CP275" s="428"/>
      <c r="CQ275" s="441"/>
      <c r="CR275" s="323"/>
      <c r="CS275" s="323"/>
      <c r="CT275" s="323"/>
      <c r="CU275" s="323"/>
      <c r="CV275" s="323"/>
      <c r="CW275" s="323"/>
      <c r="CX275" s="323"/>
      <c r="CY275" s="323"/>
      <c r="CZ275" s="323"/>
      <c r="EK275" s="1070"/>
      <c r="EL275" s="1070"/>
      <c r="EM275" s="1070"/>
      <c r="EN275" s="1070"/>
      <c r="EO275" s="1070"/>
      <c r="EP275" s="1070"/>
      <c r="EQ275" s="1070"/>
    </row>
    <row r="276" spans="2:222" ht="25.4" customHeight="1" x14ac:dyDescent="0.35">
      <c r="B276" s="385"/>
      <c r="C276" s="373"/>
      <c r="E276" s="373"/>
      <c r="F276" s="373"/>
      <c r="G276" s="373"/>
      <c r="H276" s="373"/>
      <c r="J276" s="373"/>
      <c r="K276" s="373"/>
      <c r="L276" s="373"/>
      <c r="M276" s="373"/>
      <c r="R276" s="217"/>
      <c r="S276" s="227"/>
      <c r="U276" s="251"/>
      <c r="V276" s="251"/>
      <c r="W276" s="323"/>
      <c r="X276" s="323"/>
      <c r="Y276" s="323"/>
      <c r="Z276" s="323"/>
      <c r="AA276" s="323"/>
      <c r="AB276" s="323"/>
      <c r="AC276" s="323"/>
      <c r="AD276" s="323"/>
      <c r="AE276" s="323"/>
      <c r="AF276" s="323"/>
      <c r="AG276" s="323"/>
      <c r="AH276" s="323"/>
      <c r="AI276" s="323"/>
      <c r="AJ276" s="323"/>
      <c r="AK276" s="323"/>
      <c r="AL276" s="323" t="str">
        <f>IFERROR(AJ276+VLOOKUP(B276&amp;"_"&amp;J276,'LCA data'!$B$7:$X$238,2,FALSE),"")</f>
        <v/>
      </c>
      <c r="AM276" s="323" t="str">
        <f>IFERROR(IF(M276-1&gt;0,VLOOKUP(B276&amp;"_"&amp;J276,'LCA data'!$B$7:$X$200,19,FALSE)*(K276*10^3)*C276,""),"")</f>
        <v/>
      </c>
      <c r="AN276" s="323" t="str">
        <f>IFERROR(AL276+VLOOKUP(B276&amp;"_"&amp;J276,'LCA data'!$B$7:$X$238,2,FALSE),"")</f>
        <v/>
      </c>
      <c r="AO276" s="323" t="str">
        <f>IFERROR(IF(M276-2&gt;0,VLOOKUP(B276&amp;"_"&amp;J276,'LCA data'!$B$7:$X$200,19,FALSE)*(K276*10^3)*C276,""),"")</f>
        <v/>
      </c>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c r="BM276" s="323"/>
      <c r="BN276" s="323"/>
      <c r="BO276" s="323"/>
      <c r="BP276" s="323"/>
      <c r="BQ276" s="323"/>
      <c r="BR276" s="323"/>
      <c r="BS276" s="323"/>
      <c r="BT276" s="323"/>
      <c r="BU276" s="323"/>
      <c r="BV276" s="323"/>
      <c r="BW276" s="323"/>
      <c r="BX276" s="323"/>
      <c r="BY276" s="323"/>
      <c r="BZ276" s="323"/>
      <c r="CA276" s="323"/>
      <c r="CB276" s="323"/>
      <c r="CC276" s="323"/>
      <c r="CD276" s="323"/>
      <c r="CE276" s="323"/>
      <c r="CF276" s="323"/>
      <c r="CG276" s="323"/>
      <c r="CH276" s="323"/>
      <c r="CI276" s="323"/>
      <c r="CJ276" s="323"/>
      <c r="CK276" s="323"/>
      <c r="CL276" s="323"/>
      <c r="CM276" s="323"/>
      <c r="CN276" s="323"/>
      <c r="CO276" s="323"/>
      <c r="CP276" s="428"/>
      <c r="CQ276" s="441"/>
      <c r="CR276" s="323"/>
      <c r="CS276" s="323"/>
      <c r="CT276" s="323"/>
      <c r="CU276" s="323"/>
      <c r="CV276" s="323"/>
      <c r="CW276" s="323"/>
      <c r="CX276" s="323"/>
      <c r="CY276" s="323"/>
      <c r="CZ276" s="323"/>
      <c r="EK276" s="1070"/>
      <c r="EL276" s="1070"/>
      <c r="EM276" s="1070"/>
      <c r="EN276" s="1070"/>
      <c r="EO276" s="1070"/>
      <c r="EP276" s="1070"/>
      <c r="EQ276" s="1070"/>
    </row>
    <row r="277" spans="2:222" ht="25.4" customHeight="1" x14ac:dyDescent="0.35">
      <c r="B277" s="385"/>
      <c r="C277" s="373"/>
      <c r="E277" s="373"/>
      <c r="F277" s="373"/>
      <c r="G277" s="373"/>
      <c r="H277" s="373"/>
      <c r="J277" s="373"/>
      <c r="K277" s="373"/>
      <c r="L277" s="373"/>
      <c r="M277" s="373"/>
      <c r="R277" s="217"/>
      <c r="S277" s="227"/>
      <c r="U277" s="251"/>
      <c r="V277" s="251"/>
      <c r="W277" s="323"/>
      <c r="X277" s="323"/>
      <c r="Y277" s="323"/>
      <c r="Z277" s="323"/>
      <c r="AA277" s="323"/>
      <c r="AB277" s="323"/>
      <c r="AC277" s="323"/>
      <c r="AD277" s="323"/>
      <c r="AE277" s="323"/>
      <c r="AF277" s="323"/>
      <c r="AG277" s="323"/>
      <c r="AH277" s="323"/>
      <c r="AI277" s="323"/>
      <c r="AJ277" s="323"/>
      <c r="AK277" s="323"/>
      <c r="AL277" s="323" t="str">
        <f>IFERROR(#REF!+VLOOKUP(B277&amp;"_"&amp;J277,'LCA data'!$B$7:$X$238,2,FALSE),"")</f>
        <v/>
      </c>
      <c r="AM277" s="323" t="str">
        <f>IFERROR(IF(M277-1&gt;0,VLOOKUP(B277&amp;"_"&amp;J277,'LCA data'!$B$7:$X$200,19,FALSE)*(K277*10^3)*C277,""),"")</f>
        <v/>
      </c>
      <c r="AN277" s="323" t="str">
        <f>IFERROR(AL277+VLOOKUP(B277&amp;"_"&amp;J277,'LCA data'!$B$7:$X$238,2,FALSE),"")</f>
        <v/>
      </c>
      <c r="AO277" s="323" t="str">
        <f>IFERROR(IF(M277-2&gt;0,VLOOKUP(B277&amp;"_"&amp;J277,'LCA data'!$B$7:$X$200,19,FALSE)*(K277*10^3)*C277,""),"")</f>
        <v/>
      </c>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c r="BM277" s="323"/>
      <c r="BN277" s="323"/>
      <c r="BO277" s="323"/>
      <c r="BP277" s="323"/>
      <c r="BQ277" s="323"/>
      <c r="BR277" s="323"/>
      <c r="BS277" s="323"/>
      <c r="BT277" s="323"/>
      <c r="BU277" s="323"/>
      <c r="BV277" s="323"/>
      <c r="BW277" s="323"/>
      <c r="BX277" s="323"/>
      <c r="BY277" s="323"/>
      <c r="BZ277" s="323"/>
      <c r="CA277" s="323"/>
      <c r="CB277" s="323"/>
      <c r="CC277" s="323"/>
      <c r="CD277" s="323"/>
      <c r="CE277" s="323"/>
      <c r="CF277" s="323"/>
      <c r="CG277" s="323"/>
      <c r="CH277" s="323"/>
      <c r="CI277" s="323"/>
      <c r="CJ277" s="323"/>
      <c r="CK277" s="323"/>
      <c r="CL277" s="323"/>
      <c r="CM277" s="323"/>
      <c r="CN277" s="323"/>
      <c r="CO277" s="323"/>
      <c r="CP277" s="428"/>
      <c r="CQ277" s="441"/>
      <c r="CR277" s="323"/>
      <c r="CS277" s="323"/>
      <c r="CT277" s="323"/>
      <c r="CU277" s="323"/>
      <c r="CV277" s="323"/>
      <c r="CW277" s="323"/>
      <c r="CX277" s="323"/>
      <c r="CY277" s="323"/>
      <c r="CZ277" s="323"/>
      <c r="EK277" s="1070"/>
      <c r="EL277" s="1070"/>
      <c r="EM277" s="1070"/>
      <c r="EN277" s="1070"/>
      <c r="EO277" s="1070"/>
      <c r="EP277" s="1070"/>
      <c r="EQ277" s="1070"/>
    </row>
    <row r="278" spans="2:222" ht="25.4" customHeight="1" x14ac:dyDescent="0.35">
      <c r="B278" s="385"/>
      <c r="C278" s="373"/>
      <c r="E278" s="373"/>
      <c r="F278" s="373"/>
      <c r="G278" s="373"/>
      <c r="H278" s="373"/>
      <c r="J278" s="373"/>
      <c r="K278" s="373"/>
      <c r="L278" s="373"/>
      <c r="M278" s="373"/>
      <c r="R278" s="217"/>
      <c r="S278" s="227"/>
      <c r="U278" s="251"/>
      <c r="V278" s="251"/>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c r="BM278" s="323"/>
      <c r="BN278" s="323"/>
      <c r="BO278" s="323"/>
      <c r="BP278" s="323"/>
      <c r="BQ278" s="323"/>
      <c r="BR278" s="323"/>
      <c r="BS278" s="323"/>
      <c r="BT278" s="323"/>
      <c r="BU278" s="323"/>
      <c r="BV278" s="323"/>
      <c r="BW278" s="323"/>
      <c r="BX278" s="323"/>
      <c r="BY278" s="323"/>
      <c r="BZ278" s="323"/>
      <c r="CA278" s="323"/>
      <c r="CB278" s="323"/>
      <c r="CC278" s="323"/>
      <c r="CD278" s="323"/>
      <c r="CE278" s="323"/>
      <c r="CF278" s="323"/>
      <c r="CG278" s="323"/>
      <c r="CH278" s="323"/>
      <c r="CI278" s="323"/>
      <c r="CJ278" s="323"/>
      <c r="CK278" s="323"/>
      <c r="CL278" s="323"/>
      <c r="CM278" s="323"/>
      <c r="CN278" s="323"/>
      <c r="CO278" s="323"/>
      <c r="CP278" s="428"/>
      <c r="CQ278" s="441"/>
      <c r="CR278" s="323"/>
      <c r="CS278" s="323"/>
      <c r="CT278" s="323"/>
      <c r="CU278" s="323"/>
      <c r="CV278" s="323"/>
      <c r="CW278" s="323"/>
      <c r="CX278" s="323"/>
      <c r="CY278" s="323"/>
      <c r="CZ278" s="323"/>
      <c r="EK278" s="1070"/>
      <c r="EL278" s="1070"/>
      <c r="EM278" s="1070"/>
      <c r="EN278" s="1070"/>
      <c r="EO278" s="1070"/>
      <c r="EP278" s="1070"/>
      <c r="EQ278" s="1070"/>
    </row>
    <row r="279" spans="2:222" ht="25.4" customHeight="1" x14ac:dyDescent="0.35">
      <c r="B279" s="385"/>
      <c r="C279" s="373"/>
      <c r="E279" s="373"/>
      <c r="F279" s="373"/>
      <c r="G279" s="373"/>
      <c r="H279" s="373"/>
      <c r="J279" s="373"/>
      <c r="K279" s="373"/>
      <c r="L279" s="373"/>
      <c r="M279" s="373"/>
      <c r="R279" s="217"/>
      <c r="S279" s="227"/>
      <c r="U279" s="251"/>
      <c r="V279" s="251"/>
      <c r="W279" s="323"/>
      <c r="X279" s="323"/>
      <c r="Y279" s="323"/>
      <c r="Z279" s="323"/>
      <c r="AA279" s="323"/>
      <c r="AB279" s="323"/>
      <c r="AC279" s="323"/>
      <c r="AD279" s="323"/>
      <c r="AE279" s="323"/>
      <c r="AF279" s="323"/>
      <c r="AG279" s="323"/>
      <c r="AH279" s="323"/>
      <c r="AI279" s="323"/>
      <c r="AJ279" s="323"/>
      <c r="AK279" s="323"/>
      <c r="AL279" s="323"/>
      <c r="AM279" s="323"/>
      <c r="AN279" s="323" t="s">
        <v>864</v>
      </c>
      <c r="AO279" s="323" t="s">
        <v>4</v>
      </c>
      <c r="AP279" s="323">
        <f>AN285+AN295+AN304+AN313+AN322</f>
        <v>-2666.7431999999999</v>
      </c>
      <c r="AQ279" s="323"/>
      <c r="AR279" s="323" t="s">
        <v>866</v>
      </c>
      <c r="AS279" s="323" t="s">
        <v>4</v>
      </c>
      <c r="AT279" s="323">
        <f>AR285+AR295+AR304+AR313+AR322</f>
        <v>940.89599999999996</v>
      </c>
      <c r="AU279" s="323"/>
      <c r="AV279" s="323"/>
      <c r="AW279" s="323"/>
      <c r="AX279" s="323"/>
      <c r="AY279" s="323"/>
      <c r="AZ279" s="323"/>
      <c r="BA279" s="323"/>
      <c r="BB279" s="323"/>
      <c r="BC279" s="323"/>
      <c r="BD279" s="323"/>
      <c r="BE279" s="323"/>
      <c r="BF279" s="323"/>
      <c r="BG279" s="323"/>
      <c r="BH279" s="323"/>
      <c r="BI279" s="323"/>
      <c r="BJ279" s="323"/>
      <c r="BK279" s="323"/>
      <c r="BL279" s="323"/>
      <c r="BM279" s="323"/>
      <c r="BN279" s="323"/>
      <c r="BO279" s="323"/>
      <c r="BP279" s="323"/>
      <c r="BQ279" s="323"/>
      <c r="BR279" s="323"/>
      <c r="BS279" s="323"/>
      <c r="BT279" s="323"/>
      <c r="BU279" s="323"/>
      <c r="BV279" s="323"/>
      <c r="BW279" s="323"/>
      <c r="BX279" s="323"/>
      <c r="BY279" s="323"/>
      <c r="BZ279" s="323"/>
      <c r="CA279" s="323"/>
      <c r="CB279" s="323"/>
      <c r="CC279" s="323"/>
      <c r="CD279" s="323"/>
      <c r="CE279" s="323"/>
      <c r="CF279" s="323"/>
      <c r="CG279" s="323"/>
      <c r="CH279" s="323"/>
      <c r="CI279" s="323"/>
      <c r="CJ279" s="323"/>
      <c r="CK279" s="323"/>
      <c r="CL279" s="323"/>
      <c r="CM279" s="323"/>
      <c r="CN279" s="323"/>
      <c r="CO279" s="323"/>
      <c r="CP279" s="428"/>
      <c r="CQ279" s="441"/>
      <c r="CR279" s="323"/>
      <c r="CS279" s="323"/>
      <c r="CT279" s="323"/>
      <c r="CU279" s="323"/>
      <c r="CV279" s="323"/>
      <c r="CW279" s="323"/>
      <c r="CX279" s="323"/>
      <c r="CY279" s="323"/>
      <c r="CZ279" s="323"/>
      <c r="EK279" s="1070"/>
      <c r="EL279" s="1070"/>
      <c r="EM279" s="1070"/>
      <c r="EN279" s="1070"/>
      <c r="EO279" s="1070"/>
      <c r="EP279" s="1070"/>
      <c r="EQ279" s="1070"/>
    </row>
    <row r="280" spans="2:222" ht="25.4" customHeight="1" x14ac:dyDescent="0.35">
      <c r="B280" s="385"/>
      <c r="C280" s="373"/>
      <c r="E280" s="373"/>
      <c r="F280" s="373"/>
      <c r="G280" s="373"/>
      <c r="H280" s="373"/>
      <c r="J280" s="373"/>
      <c r="K280" s="373"/>
      <c r="L280" s="373"/>
      <c r="M280" s="373"/>
      <c r="R280" s="217"/>
      <c r="S280" s="227"/>
      <c r="U280" s="251"/>
      <c r="V280" s="251"/>
      <c r="W280" s="323"/>
      <c r="X280" s="323"/>
      <c r="Y280" s="323"/>
      <c r="Z280" s="323"/>
      <c r="AA280" s="323"/>
      <c r="AB280" s="323"/>
      <c r="AC280" s="323"/>
      <c r="AD280" s="323"/>
      <c r="AE280" s="323"/>
      <c r="AF280" s="323"/>
      <c r="AG280" s="323"/>
      <c r="AH280" s="323"/>
      <c r="AI280" s="323"/>
      <c r="AJ280" s="323"/>
      <c r="AK280" s="323"/>
      <c r="AL280" s="323"/>
      <c r="AM280" s="323"/>
      <c r="AN280" s="323" t="s">
        <v>865</v>
      </c>
      <c r="AO280" s="323" t="s">
        <v>5</v>
      </c>
      <c r="AP280" s="323"/>
      <c r="AQ280" s="323">
        <f>AO285+AO295+AO304+AO313+AO322</f>
        <v>-2666.7431999999999</v>
      </c>
      <c r="AR280" s="323" t="s">
        <v>866</v>
      </c>
      <c r="AS280" s="323" t="s">
        <v>5</v>
      </c>
      <c r="AT280" s="323"/>
      <c r="AU280" s="323">
        <f>AS285+AS295+AS304+AS313+AS322</f>
        <v>940.89599999999996</v>
      </c>
      <c r="AV280" s="323"/>
      <c r="AW280" s="323"/>
      <c r="AX280" s="323"/>
      <c r="AY280" s="323"/>
      <c r="AZ280" s="323"/>
      <c r="BA280" s="323"/>
      <c r="BB280" s="323"/>
      <c r="BC280" s="323"/>
      <c r="BD280" s="323"/>
      <c r="BE280" s="323"/>
      <c r="BF280" s="323"/>
      <c r="BG280" s="323"/>
      <c r="BH280" s="323"/>
      <c r="BI280" s="323"/>
      <c r="BJ280" s="323"/>
      <c r="BK280" s="323"/>
      <c r="BL280" s="323"/>
      <c r="BM280" s="323"/>
      <c r="BN280" s="323"/>
      <c r="BO280" s="323"/>
      <c r="BP280" s="323"/>
      <c r="BQ280" s="323"/>
      <c r="BR280" s="323"/>
      <c r="BS280" s="323"/>
      <c r="BT280" s="323"/>
      <c r="BU280" s="323"/>
      <c r="BV280" s="323"/>
      <c r="BW280" s="323"/>
      <c r="BX280" s="323"/>
      <c r="BY280" s="323"/>
      <c r="BZ280" s="323"/>
      <c r="CA280" s="323"/>
      <c r="CB280" s="323"/>
      <c r="CC280" s="323"/>
      <c r="CD280" s="323"/>
      <c r="CE280" s="323"/>
      <c r="CF280" s="323"/>
      <c r="CG280" s="323"/>
      <c r="CH280" s="323"/>
      <c r="CI280" s="323"/>
      <c r="CJ280" s="323"/>
      <c r="CK280" s="323"/>
      <c r="CL280" s="323"/>
      <c r="CM280" s="323"/>
      <c r="CN280" s="323"/>
      <c r="CO280" s="323"/>
      <c r="CP280" s="428"/>
      <c r="CQ280" s="441"/>
      <c r="CR280" s="323"/>
      <c r="CS280" s="323"/>
      <c r="CT280" s="323"/>
      <c r="CU280" s="323"/>
      <c r="CV280" s="323"/>
      <c r="CW280" s="323"/>
      <c r="CX280" s="323"/>
      <c r="CY280" s="323"/>
      <c r="CZ280" s="323"/>
      <c r="EK280" s="1070"/>
      <c r="EL280" s="1070"/>
      <c r="EM280" s="1070"/>
      <c r="EN280" s="1070"/>
      <c r="EO280" s="1070"/>
      <c r="EP280" s="1070"/>
      <c r="EQ280" s="1070"/>
    </row>
    <row r="281" spans="2:222" ht="53.5" customHeight="1" thickBot="1" x14ac:dyDescent="0.4">
      <c r="B281" s="386"/>
      <c r="C281" s="379"/>
      <c r="D281" s="379"/>
      <c r="E281" s="379"/>
      <c r="F281" s="379"/>
      <c r="G281" s="379"/>
      <c r="H281" s="379"/>
      <c r="I281" s="379"/>
      <c r="J281" s="379"/>
      <c r="K281" s="379"/>
      <c r="L281" s="379"/>
      <c r="M281" s="379"/>
      <c r="N281" s="187"/>
      <c r="O281" s="187"/>
      <c r="P281" s="187"/>
      <c r="Q281" s="187"/>
      <c r="R281" s="380"/>
      <c r="S281" s="387"/>
      <c r="U281" s="251"/>
      <c r="V281" s="251"/>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c r="BM281" s="323"/>
      <c r="BN281" s="323"/>
      <c r="BO281" s="323"/>
      <c r="BP281" s="323"/>
      <c r="BQ281" s="323"/>
      <c r="BR281" s="323"/>
      <c r="BS281" s="323"/>
      <c r="BT281" s="323"/>
      <c r="BU281" s="323"/>
      <c r="BV281" s="323"/>
      <c r="BW281" s="323"/>
      <c r="BX281" s="323"/>
      <c r="BY281" s="323"/>
      <c r="BZ281" s="323"/>
      <c r="CA281" s="323"/>
      <c r="CB281" s="323"/>
      <c r="CC281" s="323"/>
      <c r="CD281" s="323"/>
      <c r="CE281" s="323"/>
      <c r="CF281" s="323"/>
      <c r="CG281" s="323"/>
      <c r="CH281" s="323"/>
      <c r="CI281" s="323"/>
      <c r="CJ281" s="323"/>
      <c r="CK281" s="323"/>
      <c r="CL281" s="323"/>
      <c r="CM281" s="323"/>
      <c r="CN281" s="323"/>
      <c r="CO281" s="323"/>
      <c r="CP281" s="428"/>
      <c r="CQ281" s="441"/>
      <c r="CR281" s="323"/>
      <c r="CS281" s="323"/>
      <c r="CT281" s="323"/>
      <c r="CU281" s="323"/>
      <c r="CV281" s="323"/>
      <c r="CW281" s="323"/>
      <c r="CX281" s="323"/>
      <c r="CY281" s="323"/>
      <c r="CZ281" s="323"/>
      <c r="EK281" s="1070"/>
      <c r="EL281" s="1070"/>
      <c r="EM281" s="1070"/>
      <c r="EN281" s="1070"/>
      <c r="EO281" s="1070"/>
      <c r="EP281" s="1070"/>
      <c r="EQ281" s="1070"/>
    </row>
    <row r="282" spans="2:222" ht="13.4" customHeight="1" thickBot="1" x14ac:dyDescent="0.7">
      <c r="B282" s="381"/>
      <c r="F282" s="228"/>
      <c r="G282" s="228"/>
      <c r="H282" s="228"/>
      <c r="K282" s="228"/>
      <c r="L282" s="228"/>
      <c r="M282" s="228"/>
      <c r="N282" s="229"/>
      <c r="O282" s="229"/>
      <c r="P282" s="230"/>
      <c r="Q282" s="239"/>
      <c r="S282" s="240"/>
      <c r="T282" s="175"/>
      <c r="U282" s="251"/>
      <c r="V282" s="251"/>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c r="BM282" s="323"/>
      <c r="BN282" s="323"/>
      <c r="BO282" s="323"/>
      <c r="BP282" s="323"/>
      <c r="BQ282" s="323"/>
      <c r="BR282" s="323"/>
      <c r="BS282" s="323"/>
      <c r="BT282" s="323"/>
      <c r="BU282" s="323"/>
      <c r="BV282" s="323"/>
      <c r="BW282" s="323"/>
      <c r="BX282" s="323"/>
      <c r="BY282" s="323"/>
      <c r="BZ282" s="323"/>
      <c r="CA282" s="323"/>
      <c r="CB282" s="323"/>
      <c r="CC282" s="323"/>
      <c r="CD282" s="323"/>
      <c r="CE282" s="323"/>
      <c r="CF282" s="323"/>
      <c r="CG282" s="323"/>
      <c r="CH282" s="323"/>
      <c r="CI282" s="323"/>
      <c r="CJ282" s="323"/>
      <c r="CK282" s="323"/>
      <c r="CL282" s="323"/>
      <c r="CM282" s="323"/>
      <c r="CN282" s="323"/>
      <c r="CO282" s="323"/>
      <c r="CP282" s="428"/>
      <c r="CQ282" s="441"/>
      <c r="CR282" s="323"/>
      <c r="CS282" s="323"/>
      <c r="CT282" s="323"/>
      <c r="CU282" s="323"/>
      <c r="CV282" s="323"/>
      <c r="CW282" s="323"/>
      <c r="CX282" s="323"/>
      <c r="CY282" s="323"/>
      <c r="CZ282" s="323"/>
      <c r="EK282" s="1070"/>
      <c r="EL282" s="1070"/>
      <c r="EM282" s="1070"/>
      <c r="EN282" s="1070"/>
      <c r="EO282" s="1070"/>
      <c r="EP282" s="1070"/>
      <c r="EQ282" s="1070"/>
    </row>
    <row r="283" spans="2:222" ht="35.25" customHeight="1" x14ac:dyDescent="0.35">
      <c r="B283" s="493" t="s">
        <v>112</v>
      </c>
      <c r="C283" s="499"/>
      <c r="D283" s="499"/>
      <c r="E283" s="506" t="s">
        <v>37</v>
      </c>
      <c r="F283" s="499"/>
      <c r="G283" s="499"/>
      <c r="H283" s="499"/>
      <c r="I283" s="500" t="str">
        <f>"Vinduestype"&amp;" "&amp;1</f>
        <v>Vinduestype 1</v>
      </c>
      <c r="J283" s="499"/>
      <c r="K283" s="499"/>
      <c r="L283" s="499"/>
      <c r="M283" s="499"/>
      <c r="N283" s="499"/>
      <c r="O283" s="499"/>
      <c r="P283" s="499"/>
      <c r="Q283" s="501"/>
      <c r="R283" s="190"/>
      <c r="S283" s="191"/>
      <c r="U283" s="251"/>
      <c r="V283" s="251"/>
      <c r="W283" s="323"/>
      <c r="X283" s="323"/>
      <c r="Y283" s="323"/>
      <c r="Z283" s="323"/>
      <c r="AA283" s="323"/>
      <c r="AB283" s="323"/>
      <c r="AC283" s="323"/>
      <c r="AD283" s="323"/>
      <c r="AE283" s="323"/>
      <c r="AF283" s="323"/>
      <c r="AG283" s="323"/>
      <c r="AH283" s="323"/>
      <c r="AI283" s="323"/>
      <c r="AJ283" s="323" t="s">
        <v>746</v>
      </c>
      <c r="AK283" s="323" t="s">
        <v>747</v>
      </c>
      <c r="AL283" s="323"/>
      <c r="AM283" s="323"/>
      <c r="AN283" s="323" t="s">
        <v>846</v>
      </c>
      <c r="AO283" s="323"/>
      <c r="AP283" s="323"/>
      <c r="AQ283" s="323"/>
      <c r="AR283" s="323" t="s">
        <v>851</v>
      </c>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c r="BM283" s="323"/>
      <c r="BN283" s="323"/>
      <c r="BO283" s="323"/>
      <c r="BP283" s="323"/>
      <c r="BQ283" s="323"/>
      <c r="BR283" s="323"/>
      <c r="BS283" s="323"/>
      <c r="BT283" s="323"/>
      <c r="BU283" s="323"/>
      <c r="BV283" s="323"/>
      <c r="BW283" s="323"/>
      <c r="BX283" s="323"/>
      <c r="BY283" s="323"/>
      <c r="BZ283" s="323"/>
      <c r="CA283" s="323"/>
      <c r="CB283" s="323"/>
      <c r="CC283" s="323"/>
      <c r="CD283" s="323"/>
      <c r="CE283" s="323"/>
      <c r="CF283" s="323"/>
      <c r="CG283" s="323"/>
      <c r="CH283" s="323"/>
      <c r="CI283" s="323"/>
      <c r="CJ283" s="323"/>
      <c r="CK283" s="323"/>
      <c r="CL283" s="323"/>
      <c r="CM283" s="323"/>
      <c r="CN283" s="323"/>
      <c r="CO283" s="323"/>
      <c r="CP283" s="428"/>
      <c r="CQ283" s="441"/>
      <c r="CR283" s="323"/>
      <c r="CS283" s="323"/>
      <c r="CT283" s="323"/>
      <c r="CU283" s="323"/>
      <c r="CV283" s="323"/>
      <c r="CW283" s="323"/>
      <c r="CX283" s="323"/>
      <c r="CY283" s="323"/>
      <c r="CZ283" s="323"/>
      <c r="EK283" s="1070"/>
      <c r="EL283" s="1070"/>
      <c r="EM283" s="1070"/>
      <c r="EN283" s="1070"/>
      <c r="EO283" s="1070"/>
      <c r="EP283" s="1070"/>
      <c r="EQ283" s="1070"/>
    </row>
    <row r="284" spans="2:222" ht="48.5" customHeight="1" x14ac:dyDescent="0.35">
      <c r="B284" s="359" t="s">
        <v>78</v>
      </c>
      <c r="C284" s="360"/>
      <c r="D284" s="910" t="s">
        <v>4</v>
      </c>
      <c r="E284" s="911"/>
      <c r="F284" s="911"/>
      <c r="G284" s="911"/>
      <c r="H284" s="912"/>
      <c r="I284" s="885" t="s">
        <v>5</v>
      </c>
      <c r="J284" s="886"/>
      <c r="K284" s="886"/>
      <c r="L284" s="886"/>
      <c r="M284" s="887"/>
      <c r="N284" s="907" t="s">
        <v>79</v>
      </c>
      <c r="O284" s="877"/>
      <c r="P284" s="877"/>
      <c r="Q284" s="877"/>
      <c r="R284" s="192"/>
      <c r="S284" s="193"/>
      <c r="T284" s="175"/>
      <c r="U284" s="251"/>
      <c r="V284" s="251"/>
      <c r="W284" s="323"/>
      <c r="X284" s="323"/>
      <c r="Y284" s="323"/>
      <c r="Z284" s="323"/>
      <c r="AA284" s="323"/>
      <c r="AB284" s="323"/>
      <c r="AC284" s="323"/>
      <c r="AD284" s="323"/>
      <c r="AE284" s="323"/>
      <c r="AF284" s="323"/>
      <c r="AG284" s="323"/>
      <c r="AH284" s="323"/>
      <c r="AI284" s="323" t="s">
        <v>749</v>
      </c>
      <c r="AJ284" s="323">
        <f>VLOOKUP(D287,Pris.vinduetype[],2,0)*C287</f>
        <v>318860.78399999999</v>
      </c>
      <c r="AK284" s="323">
        <f>VLOOKUP(I287,Pris.vinduetype[],2,0)*C287</f>
        <v>318860.78399999999</v>
      </c>
      <c r="AL284" s="323"/>
      <c r="AM284" s="323"/>
      <c r="AN284" s="323" t="s">
        <v>4</v>
      </c>
      <c r="AO284" s="323" t="s">
        <v>5</v>
      </c>
      <c r="AP284" s="323"/>
      <c r="AQ284" s="323"/>
      <c r="AR284" s="323" t="s">
        <v>4</v>
      </c>
      <c r="AS284" s="323" t="s">
        <v>5</v>
      </c>
      <c r="AT284" s="323"/>
      <c r="AU284" s="323"/>
      <c r="AV284" s="323"/>
      <c r="AW284" s="323"/>
      <c r="AX284" s="323"/>
      <c r="AY284" s="323"/>
      <c r="AZ284" s="323"/>
      <c r="BA284" s="323"/>
      <c r="BB284" s="323"/>
      <c r="BC284" s="323"/>
      <c r="BD284" s="323"/>
      <c r="BE284" s="323"/>
      <c r="BF284" s="323"/>
      <c r="BG284" s="323"/>
      <c r="BH284" s="323"/>
      <c r="BI284" s="323"/>
      <c r="BJ284" s="323"/>
      <c r="BK284" s="323"/>
      <c r="BL284" s="323"/>
      <c r="BM284" s="323"/>
      <c r="BN284" s="323"/>
      <c r="BO284" s="323"/>
      <c r="BP284" s="323"/>
      <c r="BQ284" s="323"/>
      <c r="BR284" s="323"/>
      <c r="BS284" s="323"/>
      <c r="BT284" s="323"/>
      <c r="BU284" s="323"/>
      <c r="BV284" s="323"/>
      <c r="BW284" s="323"/>
      <c r="BX284" s="323"/>
      <c r="BY284" s="323"/>
      <c r="BZ284" s="323"/>
      <c r="CA284" s="323"/>
      <c r="CB284" s="323"/>
      <c r="CC284" s="323"/>
      <c r="CD284" s="323"/>
      <c r="CE284" s="323"/>
      <c r="CF284" s="323"/>
      <c r="CG284" s="323"/>
      <c r="CH284" s="323"/>
      <c r="CI284" s="323"/>
      <c r="CJ284" s="323"/>
      <c r="CK284" s="323"/>
      <c r="CL284" s="323"/>
      <c r="CM284" s="323"/>
      <c r="CN284" s="323"/>
      <c r="CO284" s="323"/>
      <c r="CP284" s="428"/>
      <c r="CQ284" s="441"/>
      <c r="CR284" s="323"/>
      <c r="CS284" s="323"/>
      <c r="CT284" s="323"/>
      <c r="CU284" s="323"/>
      <c r="CV284" s="323"/>
      <c r="CW284" s="323"/>
      <c r="CX284" s="323"/>
      <c r="CY284" s="323"/>
      <c r="CZ284" s="323"/>
      <c r="EK284" s="1070"/>
      <c r="EL284" s="1070"/>
      <c r="EM284" s="1070"/>
      <c r="EN284" s="1070"/>
      <c r="EO284" s="1070"/>
      <c r="EP284" s="1070"/>
      <c r="EQ284" s="1070"/>
    </row>
    <row r="285" spans="2:222" ht="33.75" customHeight="1" x14ac:dyDescent="0.35">
      <c r="B285" s="194"/>
      <c r="C285" s="195" t="s">
        <v>80</v>
      </c>
      <c r="D285" s="920" t="s">
        <v>81</v>
      </c>
      <c r="E285" s="921"/>
      <c r="F285" s="338" t="s">
        <v>120</v>
      </c>
      <c r="G285" s="338" t="s">
        <v>121</v>
      </c>
      <c r="H285" s="338" t="s">
        <v>84</v>
      </c>
      <c r="I285" s="891" t="s">
        <v>81</v>
      </c>
      <c r="J285" s="892"/>
      <c r="K285" s="479" t="s">
        <v>120</v>
      </c>
      <c r="L285" s="479" t="s">
        <v>121</v>
      </c>
      <c r="M285" s="508" t="s">
        <v>84</v>
      </c>
      <c r="N285" s="195" t="s">
        <v>4</v>
      </c>
      <c r="O285" s="195" t="s">
        <v>85</v>
      </c>
      <c r="P285" s="195" t="s">
        <v>5</v>
      </c>
      <c r="Q285" s="195" t="s">
        <v>86</v>
      </c>
      <c r="R285" s="192"/>
      <c r="S285" s="196"/>
      <c r="U285" s="251"/>
      <c r="V285" s="251"/>
      <c r="W285" s="323" t="s">
        <v>87</v>
      </c>
      <c r="X285" s="323" t="s">
        <v>88</v>
      </c>
      <c r="Y285" s="323" t="s">
        <v>89</v>
      </c>
      <c r="Z285" s="323" t="s">
        <v>90</v>
      </c>
      <c r="AA285" s="323" t="s">
        <v>91</v>
      </c>
      <c r="AB285" s="323"/>
      <c r="AC285" s="323"/>
      <c r="AD285" s="323"/>
      <c r="AE285" s="323" t="s">
        <v>92</v>
      </c>
      <c r="AF285" s="323"/>
      <c r="AG285" s="323"/>
      <c r="AH285" s="323"/>
      <c r="AI285" s="323"/>
      <c r="AJ285" s="323"/>
      <c r="AK285" s="323"/>
      <c r="AL285" s="323"/>
      <c r="AM285" s="323"/>
      <c r="AN285" s="323">
        <f>SUM(AN287:AN291)</f>
        <v>-2666.7431999999999</v>
      </c>
      <c r="AO285" s="323">
        <f>SUM(AO287:AO291)</f>
        <v>-2666.7431999999999</v>
      </c>
      <c r="AP285" s="323"/>
      <c r="AQ285" s="323"/>
      <c r="AR285" s="323">
        <f>SUM(AR287:AR290)</f>
        <v>940.89599999999996</v>
      </c>
      <c r="AS285" s="323">
        <f>SUM(AS287:AS290)</f>
        <v>940.89599999999996</v>
      </c>
      <c r="AT285" s="323"/>
      <c r="AU285" s="323"/>
      <c r="AV285" s="323"/>
      <c r="AW285" s="323"/>
      <c r="AX285" s="323"/>
      <c r="AY285" s="323"/>
      <c r="AZ285" s="323"/>
      <c r="BA285" s="323"/>
      <c r="BB285" s="323"/>
      <c r="BC285" s="323"/>
      <c r="BD285" s="323"/>
      <c r="BE285" s="323"/>
      <c r="BF285" s="323"/>
      <c r="BG285" s="323"/>
      <c r="BH285" s="323"/>
      <c r="BI285" s="323"/>
      <c r="BJ285" s="323"/>
      <c r="BK285" s="323"/>
      <c r="BL285" s="323"/>
      <c r="BM285" s="323"/>
      <c r="BN285" s="323"/>
      <c r="BO285" s="323"/>
      <c r="BP285" s="323"/>
      <c r="BQ285" s="323"/>
      <c r="BR285" s="323"/>
      <c r="BS285" s="323"/>
      <c r="BT285" s="323"/>
      <c r="BU285" s="323"/>
      <c r="BV285" s="323"/>
      <c r="BW285" s="323"/>
      <c r="BX285" s="323"/>
      <c r="BY285" s="323"/>
      <c r="BZ285" s="323"/>
      <c r="CA285" s="323"/>
      <c r="CB285" s="323"/>
      <c r="CC285" s="323"/>
      <c r="CD285" s="323"/>
      <c r="CE285" s="323"/>
      <c r="CF285" s="323"/>
      <c r="CG285" s="323"/>
      <c r="CH285" s="323"/>
      <c r="CI285" s="323"/>
      <c r="CJ285" s="323"/>
      <c r="CK285" s="323"/>
      <c r="CL285" s="323"/>
      <c r="CM285" s="323"/>
      <c r="CN285" s="323"/>
      <c r="CO285" s="323"/>
      <c r="CP285" s="428"/>
      <c r="CQ285" s="441"/>
      <c r="CR285" s="323"/>
      <c r="CS285" s="323"/>
      <c r="CT285" s="323"/>
      <c r="CU285" s="323"/>
      <c r="CV285" s="323"/>
      <c r="CW285" s="323"/>
      <c r="CX285" s="323"/>
      <c r="CY285" s="323"/>
      <c r="CZ285" s="323"/>
      <c r="EK285" s="1070"/>
      <c r="EL285" s="1070"/>
      <c r="EM285" s="1070"/>
      <c r="EN285" s="1070"/>
      <c r="EO285" s="1070"/>
      <c r="EP285" s="1070"/>
      <c r="EQ285" s="1070"/>
    </row>
    <row r="286" spans="2:222" s="198" customFormat="1" ht="27.65" customHeight="1" x14ac:dyDescent="0.35">
      <c r="B286" s="199"/>
      <c r="C286" s="200" t="s">
        <v>93</v>
      </c>
      <c r="D286" s="348"/>
      <c r="E286" s="348"/>
      <c r="F286" s="347" t="s">
        <v>122</v>
      </c>
      <c r="G286" s="348" t="s">
        <v>95</v>
      </c>
      <c r="H286" s="349" t="s">
        <v>96</v>
      </c>
      <c r="I286" s="511"/>
      <c r="J286" s="511"/>
      <c r="K286" s="510" t="s">
        <v>122</v>
      </c>
      <c r="L286" s="511" t="s">
        <v>95</v>
      </c>
      <c r="M286" s="512" t="s">
        <v>96</v>
      </c>
      <c r="N286" s="201" t="s">
        <v>97</v>
      </c>
      <c r="O286" s="201" t="s">
        <v>97</v>
      </c>
      <c r="P286" s="201" t="s">
        <v>97</v>
      </c>
      <c r="Q286" s="201" t="s">
        <v>97</v>
      </c>
      <c r="R286" s="202"/>
      <c r="S286" s="203"/>
      <c r="T286" s="204"/>
      <c r="U286" s="325"/>
      <c r="V286" s="325"/>
      <c r="W286" s="323">
        <f>SUM(W287:W293)</f>
        <v>24514.332479999997</v>
      </c>
      <c r="X286" s="323">
        <f>SUM(X287:X293)</f>
        <v>24514.332479999997</v>
      </c>
      <c r="Y286" s="323"/>
      <c r="Z286" s="323"/>
      <c r="AA286" s="323"/>
      <c r="AB286" s="323" t="s">
        <v>111</v>
      </c>
      <c r="AC286" s="323" t="s">
        <v>98</v>
      </c>
      <c r="AD286" s="323" t="s">
        <v>99</v>
      </c>
      <c r="AE286" s="323" t="s">
        <v>100</v>
      </c>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c r="BM286" s="323"/>
      <c r="BN286" s="323"/>
      <c r="BO286" s="323"/>
      <c r="BP286" s="323"/>
      <c r="BQ286" s="323"/>
      <c r="BR286" s="323"/>
      <c r="BS286" s="323"/>
      <c r="BT286" s="323"/>
      <c r="BU286" s="323"/>
      <c r="BV286" s="323"/>
      <c r="BW286" s="323"/>
      <c r="BX286" s="323"/>
      <c r="BY286" s="323"/>
      <c r="BZ286" s="323"/>
      <c r="CA286" s="323"/>
      <c r="CB286" s="323"/>
      <c r="CC286" s="323"/>
      <c r="CD286" s="323"/>
      <c r="CE286" s="323"/>
      <c r="CF286" s="323"/>
      <c r="CG286" s="323"/>
      <c r="CH286" s="323"/>
      <c r="CI286" s="323"/>
      <c r="CJ286" s="323"/>
      <c r="CK286" s="323"/>
      <c r="CL286" s="323"/>
      <c r="CM286" s="323"/>
      <c r="CN286" s="323"/>
      <c r="CO286" s="323"/>
      <c r="CP286" s="428"/>
      <c r="CQ286" s="441"/>
      <c r="CR286" s="323"/>
      <c r="CS286" s="323"/>
      <c r="CT286" s="323"/>
      <c r="CU286" s="323"/>
      <c r="CV286" s="323"/>
      <c r="CW286" s="323"/>
      <c r="CX286" s="323"/>
      <c r="CY286" s="323"/>
      <c r="CZ286" s="323"/>
      <c r="DA286" s="325"/>
      <c r="DB286" s="325"/>
      <c r="DC286" s="325"/>
      <c r="DD286" s="325"/>
      <c r="DE286" s="325"/>
      <c r="DF286" s="325"/>
      <c r="DG286" s="325"/>
      <c r="DH286" s="325"/>
      <c r="DI286" s="325"/>
      <c r="DJ286" s="325"/>
      <c r="DK286" s="325"/>
      <c r="DL286" s="325"/>
      <c r="DM286" s="325"/>
      <c r="DN286" s="325"/>
      <c r="DO286" s="325"/>
      <c r="DP286" s="325"/>
      <c r="DQ286" s="325"/>
      <c r="DR286" s="325"/>
      <c r="DS286" s="325"/>
      <c r="DT286" s="325"/>
      <c r="DU286" s="325"/>
      <c r="DV286" s="325"/>
      <c r="DW286" s="325"/>
      <c r="DX286" s="325"/>
      <c r="DY286" s="325"/>
      <c r="DZ286" s="325"/>
      <c r="EA286" s="325"/>
      <c r="EB286" s="325"/>
      <c r="EC286" s="325"/>
      <c r="ED286" s="325"/>
      <c r="EE286" s="325"/>
      <c r="EF286" s="325"/>
      <c r="EG286" s="325"/>
      <c r="EH286" s="325"/>
      <c r="EI286" s="325"/>
      <c r="EJ286" s="325"/>
      <c r="EK286" s="1072"/>
      <c r="EL286" s="1072"/>
      <c r="EM286" s="1072"/>
      <c r="EN286" s="1072"/>
      <c r="EO286" s="1072"/>
      <c r="EP286" s="1072"/>
      <c r="EQ286" s="1072"/>
      <c r="ER286" s="325"/>
      <c r="ES286" s="325"/>
      <c r="ET286" s="325"/>
      <c r="EU286" s="325"/>
      <c r="EV286" s="325"/>
      <c r="EW286" s="325"/>
      <c r="EX286" s="325"/>
      <c r="EY286" s="325"/>
      <c r="EZ286" s="325"/>
      <c r="FA286" s="325"/>
      <c r="FB286" s="325"/>
      <c r="FC286" s="325"/>
      <c r="FD286" s="325"/>
      <c r="FE286" s="325"/>
      <c r="FF286" s="325"/>
      <c r="FG286" s="325"/>
      <c r="FH286" s="325"/>
      <c r="FI286" s="325"/>
      <c r="FJ286" s="325"/>
      <c r="FK286" s="325"/>
      <c r="FL286" s="325"/>
      <c r="FM286" s="325"/>
      <c r="FN286" s="325"/>
      <c r="FO286" s="325"/>
      <c r="FP286" s="325"/>
      <c r="FQ286" s="325"/>
      <c r="FR286" s="325"/>
      <c r="FS286" s="325"/>
      <c r="FT286" s="325"/>
      <c r="FU286" s="325"/>
      <c r="FV286" s="325"/>
      <c r="FW286" s="325"/>
      <c r="FX286" s="325"/>
      <c r="FY286" s="325"/>
      <c r="FZ286" s="325"/>
      <c r="GA286" s="325"/>
      <c r="GB286" s="325"/>
      <c r="GC286" s="325"/>
      <c r="GD286" s="325"/>
      <c r="GE286" s="325"/>
      <c r="GF286" s="325"/>
      <c r="GG286" s="325"/>
      <c r="GH286" s="325"/>
      <c r="GI286" s="325"/>
      <c r="GJ286" s="325"/>
      <c r="GK286" s="325"/>
      <c r="GL286" s="325"/>
      <c r="GM286" s="325"/>
      <c r="GN286" s="325"/>
      <c r="GO286" s="325"/>
      <c r="GP286" s="325"/>
      <c r="GQ286" s="325"/>
      <c r="GR286" s="325"/>
      <c r="GS286" s="325"/>
      <c r="GT286" s="325"/>
      <c r="GU286" s="325"/>
      <c r="GV286" s="325"/>
      <c r="GW286" s="325"/>
      <c r="GX286" s="325"/>
      <c r="GY286" s="325"/>
      <c r="GZ286" s="325"/>
      <c r="HA286" s="325"/>
      <c r="HB286" s="325"/>
      <c r="HC286" s="325"/>
      <c r="HD286" s="325"/>
      <c r="HE286" s="325"/>
      <c r="HF286" s="325"/>
      <c r="HG286" s="325"/>
      <c r="HH286" s="325"/>
      <c r="HI286" s="325"/>
      <c r="HJ286" s="325"/>
      <c r="HK286" s="325"/>
      <c r="HL286" s="325"/>
      <c r="HM286" s="325"/>
      <c r="HN286" s="325"/>
    </row>
    <row r="287" spans="2:222" ht="48" customHeight="1" x14ac:dyDescent="0.35">
      <c r="B287" s="363" t="str">
        <f>'LCA data'!$B$167</f>
        <v>Vinduer</v>
      </c>
      <c r="C287" s="465">
        <f>IF($C$47-C297-C306-C315-C324&lt;0,0,$C$47-C297-C306-C315-C324)</f>
        <v>79.2</v>
      </c>
      <c r="D287" s="922" t="str">
        <f>$C$34</f>
        <v>3 lags energirude</v>
      </c>
      <c r="E287" s="923"/>
      <c r="F287" s="388"/>
      <c r="G287" s="343" t="str">
        <f>$C$35</f>
        <v>Træ/alu</v>
      </c>
      <c r="H287" s="351">
        <f>IFERROR(IF(VLOOKUP(B287&amp;"_"&amp;D287,'LCA data'!$B$7:$X$200,2,FALSE)&lt;$Y$24,1,0)+IF(VLOOKUP(B287&amp;"_"&amp;D287,'LCA data'!$B$7:$X$200,2,FALSE)*2&lt;$Y$24,1,0),"")</f>
        <v>1</v>
      </c>
      <c r="I287" s="922" t="str">
        <f>$E$34</f>
        <v>3 lags energirude</v>
      </c>
      <c r="J287" s="923"/>
      <c r="K287" s="523"/>
      <c r="L287" s="343" t="str">
        <f>$E$35</f>
        <v>Træ/alu</v>
      </c>
      <c r="M287" s="515">
        <f>IFERROR(IF(VLOOKUP(B287&amp;"_"&amp;I287,'LCA data'!$B$7:$X$200,2,FALSE)&lt;$Y$24,1,0)+IF(VLOOKUP(B287&amp;"_"&amp;I287,'LCA data'!$B$7:$X$200,2,FALSE)*2&lt;$Y$24,1,0),"")</f>
        <v>1</v>
      </c>
      <c r="N287" s="364">
        <f>W287/1000</f>
        <v>24.514332479999997</v>
      </c>
      <c r="O287" s="531">
        <f>N287</f>
        <v>24.514332479999997</v>
      </c>
      <c r="P287" s="365">
        <f>X287/1000</f>
        <v>24.514332479999997</v>
      </c>
      <c r="Q287" s="530">
        <f>P287</f>
        <v>24.514332479999997</v>
      </c>
      <c r="R287" s="192"/>
      <c r="S287" s="196"/>
      <c r="U287" s="251"/>
      <c r="V287" s="251"/>
      <c r="W287" s="323">
        <f>IF(D287="Angiv ikke",0,((1+H287)*VLOOKUP(B287&amp;"_"&amp;D287,'LCA data'!$B$7:$X$360,19,FALSE)*C287))+IF(G287="Angiv ikke",0,VLOOKUP(G285&amp;"_"&amp;G287,'LCA data'!$B$7:$X$360,19,FALSE))*C287</f>
        <v>24514.332479999997</v>
      </c>
      <c r="X287" s="323">
        <f>IF(I287="Angiv ikke",0,((1+M287)*VLOOKUP(B287&amp;"_"&amp;I287,'LCA data'!$B$7:$X$360,19,FALSE)*C287))+IF(L287="Angiv ikke",0,VLOOKUP(L285&amp;"_"&amp;L287,'LCA data'!$B$7:$X$360,19,FALSE))*C287</f>
        <v>24514.332479999997</v>
      </c>
      <c r="Y287" s="323">
        <f>AC287*$J$21*$Y$24</f>
        <v>19181.352960000007</v>
      </c>
      <c r="Z287" s="323">
        <f>AC288*$J$21*$Y$24</f>
        <v>19181.352960000007</v>
      </c>
      <c r="AA287" s="323" t="s">
        <v>4</v>
      </c>
      <c r="AB287" s="323">
        <f>AF287/$J$21/$Y$24*1000</f>
        <v>1.2257166239999999</v>
      </c>
      <c r="AC287" s="323">
        <f>Varmetab!H82</f>
        <v>0.95906764800000033</v>
      </c>
      <c r="AD287" s="323">
        <f>AB287+AC287</f>
        <v>2.1847842720000004</v>
      </c>
      <c r="AE287" s="323" t="s">
        <v>4</v>
      </c>
      <c r="AF287" s="323">
        <f>W286/1000</f>
        <v>24.514332479999997</v>
      </c>
      <c r="AG287" s="323"/>
      <c r="AH287" s="323"/>
      <c r="AI287" s="323"/>
      <c r="AJ287" s="323"/>
      <c r="AK287" s="323"/>
      <c r="AL287" s="323"/>
      <c r="AM287" s="323"/>
      <c r="AN287" s="323">
        <f>IF(G287="Angiv ikke",0,(C287*(VLOOKUP(G285&amp;"_"&amp;G287,'LCA data'!$B$7:$AA$360,9,FALSE))))</f>
        <v>-2444.1120000000001</v>
      </c>
      <c r="AO287" s="323">
        <f>IF(L287="Angiv ikke",0,(C287*(VLOOKUP(L285&amp;"_"&amp;L287,'LCA data'!$B$7:$AA$360,9,FALSE))))</f>
        <v>-2444.1120000000001</v>
      </c>
      <c r="AP287" s="323"/>
      <c r="AQ287" s="323"/>
      <c r="AR287" s="323">
        <f>IF(G287="Angiv ikke",0,(C287*(VLOOKUP(G285&amp;"_"&amp;G287,'LCA data'!$B$7:$AA$360,24,FALSE))))</f>
        <v>940.89599999999996</v>
      </c>
      <c r="AS287" s="323">
        <f>IF(L287="Angiv ikke",0,(C287*(VLOOKUP(L285&amp;"_"&amp;L287,'LCA data'!$B$7:$AA$360,24,FALSE))))</f>
        <v>940.89599999999996</v>
      </c>
      <c r="AT287" s="323"/>
      <c r="AU287" s="323"/>
      <c r="AV287" s="323"/>
      <c r="AW287" s="323"/>
      <c r="AX287" s="323"/>
      <c r="AY287" s="323"/>
      <c r="AZ287" s="323"/>
      <c r="BA287" s="323"/>
      <c r="BB287" s="323"/>
      <c r="BC287" s="323"/>
      <c r="BD287" s="323"/>
      <c r="BE287" s="323"/>
      <c r="BF287" s="323"/>
      <c r="BG287" s="323"/>
      <c r="BH287" s="323"/>
      <c r="BI287" s="323"/>
      <c r="BJ287" s="323"/>
      <c r="BK287" s="323"/>
      <c r="BL287" s="323"/>
      <c r="BM287" s="323"/>
      <c r="BN287" s="323"/>
      <c r="BO287" s="323"/>
      <c r="BP287" s="323"/>
      <c r="BQ287" s="323"/>
      <c r="BR287" s="323"/>
      <c r="BS287" s="323"/>
      <c r="BT287" s="323"/>
      <c r="BU287" s="323"/>
      <c r="BV287" s="323"/>
      <c r="BW287" s="323"/>
      <c r="BX287" s="323"/>
      <c r="BY287" s="323"/>
      <c r="BZ287" s="323"/>
      <c r="CA287" s="323"/>
      <c r="CB287" s="323"/>
      <c r="CC287" s="323"/>
      <c r="CD287" s="323"/>
      <c r="CE287" s="323"/>
      <c r="CF287" s="323"/>
      <c r="CG287" s="323"/>
      <c r="CH287" s="323"/>
      <c r="CI287" s="323"/>
      <c r="CJ287" s="323"/>
      <c r="CK287" s="323"/>
      <c r="CL287" s="323"/>
      <c r="CM287" s="323"/>
      <c r="CN287" s="323"/>
      <c r="CO287" s="323"/>
      <c r="CP287" s="428"/>
      <c r="CQ287" s="441"/>
      <c r="CR287" s="323"/>
      <c r="CS287" s="323"/>
      <c r="CT287" s="323"/>
      <c r="CU287" s="323"/>
      <c r="CV287" s="323"/>
      <c r="CW287" s="323"/>
      <c r="CX287" s="323"/>
      <c r="CY287" s="323"/>
      <c r="CZ287" s="323"/>
    </row>
    <row r="288" spans="2:222" ht="54" customHeight="1" x14ac:dyDescent="0.35">
      <c r="B288" s="389" t="s">
        <v>123</v>
      </c>
      <c r="C288" s="201" t="s">
        <v>124</v>
      </c>
      <c r="D288" s="926">
        <f>IFERROR(IF(F288&gt;0,F288,VLOOKUP(D287,Dropdown!$T$1:$U$8,2,FALSE)),"")</f>
        <v>0.8</v>
      </c>
      <c r="E288" s="927"/>
      <c r="F288" s="659"/>
      <c r="G288" s="390"/>
      <c r="H288" s="391"/>
      <c r="I288" s="924">
        <f>IFERROR(IF(K288&gt;0,K288,VLOOKUP(I287,Dropdown!$T$1:$U$8,2,FALSE)),"")</f>
        <v>0.8</v>
      </c>
      <c r="J288" s="925"/>
      <c r="K288" s="657"/>
      <c r="L288" s="525"/>
      <c r="M288" s="526"/>
      <c r="N288" s="392"/>
      <c r="O288" s="392"/>
      <c r="P288" s="393"/>
      <c r="Q288" s="394"/>
      <c r="R288" s="192"/>
      <c r="S288" s="196"/>
      <c r="U288" s="251"/>
      <c r="V288" s="251"/>
      <c r="W288" s="323"/>
      <c r="X288" s="323"/>
      <c r="Y288" s="323"/>
      <c r="Z288" s="323"/>
      <c r="AA288" s="323" t="s">
        <v>5</v>
      </c>
      <c r="AB288" s="323">
        <f>AG288/$J$21/$Y$24*1000</f>
        <v>1.2257166239999999</v>
      </c>
      <c r="AC288" s="323">
        <f>Varmetab!I82</f>
        <v>0.95906764800000033</v>
      </c>
      <c r="AD288" s="323">
        <f>AB288+AC288</f>
        <v>2.1847842720000004</v>
      </c>
      <c r="AE288" s="323" t="s">
        <v>5</v>
      </c>
      <c r="AF288" s="323"/>
      <c r="AG288" s="323">
        <f>X286/1000</f>
        <v>24.514332479999997</v>
      </c>
      <c r="AH288" s="323"/>
      <c r="AI288" s="323"/>
      <c r="AJ288" s="323"/>
      <c r="AK288" s="323"/>
      <c r="AL288" s="323"/>
      <c r="AM288" s="323"/>
      <c r="AN288" s="323">
        <f>IF(D287="Angiv ikke",0,(C287*(VLOOKUP(B287&amp;"_"&amp;D287,'LCA data'!$B$7:$AA$360,9,FALSE))))</f>
        <v>-222.63120000000001</v>
      </c>
      <c r="AO288" s="323">
        <f>IF(I287="Angiv ikke",0,(C287*(VLOOKUP(B287&amp;"_"&amp;I287,'LCA data'!$B$7:$AA$360,9,FALSE))))</f>
        <v>-222.63120000000001</v>
      </c>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c r="BM288" s="323"/>
      <c r="BN288" s="323"/>
      <c r="BO288" s="323"/>
      <c r="BP288" s="323"/>
      <c r="BQ288" s="323"/>
      <c r="BR288" s="323"/>
      <c r="BS288" s="323"/>
      <c r="BT288" s="323"/>
      <c r="BU288" s="323"/>
      <c r="BV288" s="323"/>
      <c r="BW288" s="323"/>
      <c r="BX288" s="323"/>
      <c r="BY288" s="323"/>
      <c r="BZ288" s="323"/>
      <c r="CA288" s="323"/>
      <c r="CB288" s="323"/>
      <c r="CC288" s="323"/>
      <c r="CD288" s="323"/>
      <c r="CE288" s="323"/>
      <c r="CF288" s="323"/>
      <c r="CG288" s="323"/>
      <c r="CH288" s="323"/>
      <c r="CI288" s="323"/>
      <c r="CJ288" s="323"/>
      <c r="CK288" s="323"/>
      <c r="CL288" s="323"/>
      <c r="CM288" s="323"/>
      <c r="CN288" s="323"/>
      <c r="CO288" s="323"/>
      <c r="CP288" s="428"/>
      <c r="CQ288" s="441"/>
      <c r="CR288" s="323"/>
      <c r="CS288" s="323"/>
      <c r="CT288" s="323"/>
      <c r="CU288" s="323"/>
      <c r="CV288" s="323"/>
      <c r="CW288" s="323"/>
      <c r="CX288" s="323"/>
      <c r="CY288" s="323"/>
      <c r="CZ288" s="323"/>
    </row>
    <row r="289" spans="2:222" ht="13.5" customHeight="1" thickBot="1" x14ac:dyDescent="0.4">
      <c r="B289" s="395" t="s">
        <v>125</v>
      </c>
      <c r="C289" s="396"/>
      <c r="D289" s="396"/>
      <c r="E289" s="396"/>
      <c r="F289" s="396"/>
      <c r="G289" s="396"/>
      <c r="H289" s="396"/>
      <c r="I289" s="396"/>
      <c r="J289" s="396"/>
      <c r="K289" s="396"/>
      <c r="L289" s="396"/>
      <c r="M289" s="396"/>
      <c r="N289" s="397"/>
      <c r="O289" s="396"/>
      <c r="P289" s="398"/>
      <c r="Q289" s="396"/>
      <c r="R289" s="192"/>
      <c r="S289" s="196"/>
      <c r="U289" s="251"/>
      <c r="V289" s="251"/>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c r="BN289" s="323"/>
      <c r="BO289" s="323"/>
      <c r="BP289" s="323"/>
      <c r="BQ289" s="323"/>
      <c r="BR289" s="323"/>
      <c r="BS289" s="323"/>
      <c r="BT289" s="323"/>
      <c r="BU289" s="323"/>
      <c r="BV289" s="323"/>
      <c r="BW289" s="323"/>
      <c r="BX289" s="323"/>
      <c r="BY289" s="323"/>
      <c r="BZ289" s="323"/>
      <c r="CA289" s="323"/>
      <c r="CB289" s="323"/>
      <c r="CC289" s="323"/>
      <c r="CD289" s="323"/>
      <c r="CE289" s="323"/>
      <c r="CF289" s="323"/>
      <c r="CG289" s="323"/>
      <c r="CH289" s="323"/>
      <c r="CI289" s="323"/>
      <c r="CJ289" s="323"/>
      <c r="CK289" s="323"/>
      <c r="CL289" s="323"/>
      <c r="CM289" s="323"/>
      <c r="CN289" s="323"/>
      <c r="CO289" s="323"/>
      <c r="CP289" s="428"/>
      <c r="CQ289" s="441"/>
      <c r="CR289" s="323"/>
      <c r="CS289" s="323"/>
      <c r="CT289" s="323"/>
      <c r="CU289" s="323"/>
      <c r="CV289" s="323"/>
      <c r="CW289" s="323"/>
      <c r="CX289" s="323"/>
      <c r="CY289" s="323"/>
      <c r="CZ289" s="323"/>
    </row>
    <row r="290" spans="2:222" ht="13.5" customHeight="1" thickBot="1" x14ac:dyDescent="0.4">
      <c r="B290" s="399"/>
      <c r="C290" s="400"/>
      <c r="D290" s="400"/>
      <c r="E290" s="400"/>
      <c r="F290" s="400"/>
      <c r="G290" s="400"/>
      <c r="H290" s="400"/>
      <c r="I290" s="400"/>
      <c r="J290" s="400"/>
      <c r="K290" s="400"/>
      <c r="L290" s="400"/>
      <c r="M290" s="400"/>
      <c r="N290" s="401"/>
      <c r="O290" s="400"/>
      <c r="P290" s="402"/>
      <c r="Q290" s="400"/>
      <c r="R290" s="212"/>
      <c r="S290" s="213"/>
      <c r="U290" s="251"/>
      <c r="V290" s="251"/>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c r="BN290" s="323"/>
      <c r="BO290" s="323"/>
      <c r="BP290" s="323"/>
      <c r="BQ290" s="323"/>
      <c r="BR290" s="323"/>
      <c r="BS290" s="323"/>
      <c r="BT290" s="323"/>
      <c r="BU290" s="323"/>
      <c r="BV290" s="323"/>
      <c r="BW290" s="323"/>
      <c r="BX290" s="323"/>
      <c r="BY290" s="323"/>
      <c r="BZ290" s="323"/>
      <c r="CA290" s="323"/>
      <c r="CB290" s="323"/>
      <c r="CC290" s="323"/>
      <c r="CD290" s="323"/>
      <c r="CE290" s="323"/>
      <c r="CF290" s="323"/>
      <c r="CG290" s="323"/>
      <c r="CH290" s="323"/>
      <c r="CI290" s="323"/>
      <c r="CJ290" s="323"/>
      <c r="CK290" s="323"/>
      <c r="CL290" s="323"/>
      <c r="CM290" s="323"/>
      <c r="CN290" s="323"/>
      <c r="CO290" s="323"/>
      <c r="CP290" s="1144" t="s">
        <v>77</v>
      </c>
      <c r="CQ290" s="1145"/>
      <c r="CR290" s="323"/>
      <c r="CS290" s="323"/>
      <c r="CT290" s="323"/>
      <c r="CU290" s="323"/>
      <c r="CV290" s="323"/>
      <c r="CW290" s="323"/>
      <c r="CX290" s="323"/>
      <c r="CY290" s="323"/>
      <c r="CZ290" s="323"/>
    </row>
    <row r="291" spans="2:222" ht="18.75" customHeight="1" x14ac:dyDescent="0.35">
      <c r="B291" s="556"/>
      <c r="C291" s="557"/>
      <c r="D291" s="542"/>
      <c r="E291" s="557"/>
      <c r="F291" s="557"/>
      <c r="G291" s="557"/>
      <c r="H291" s="557"/>
      <c r="I291" s="542"/>
      <c r="J291" s="557"/>
      <c r="K291" s="557"/>
      <c r="L291" s="557"/>
      <c r="M291" s="557"/>
      <c r="N291" s="404"/>
      <c r="O291" s="404"/>
      <c r="P291" s="404"/>
      <c r="Q291" s="405"/>
      <c r="R291" s="217"/>
      <c r="U291" s="251"/>
      <c r="V291" s="251"/>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c r="BN291" s="323"/>
      <c r="BO291" s="323"/>
      <c r="BP291" s="323"/>
      <c r="BQ291" s="323"/>
      <c r="BR291" s="323"/>
      <c r="BS291" s="323"/>
      <c r="BT291" s="323"/>
      <c r="BU291" s="323"/>
      <c r="BV291" s="323"/>
      <c r="BW291" s="323"/>
      <c r="BX291" s="323"/>
      <c r="BY291" s="323"/>
      <c r="BZ291" s="323"/>
      <c r="CA291" s="323"/>
      <c r="CB291" s="323"/>
      <c r="CC291" s="323"/>
      <c r="CD291" s="323"/>
      <c r="CE291" s="323"/>
      <c r="CF291" s="323"/>
      <c r="CG291" s="323"/>
      <c r="CH291" s="323"/>
      <c r="CI291" s="323"/>
      <c r="CJ291" s="323"/>
      <c r="CK291" s="323"/>
      <c r="CL291" s="323"/>
      <c r="CM291" s="323"/>
      <c r="CN291" s="323"/>
      <c r="CO291" s="323"/>
      <c r="CP291" s="431"/>
      <c r="CQ291" s="432"/>
      <c r="CR291" s="323"/>
      <c r="CS291" s="323"/>
      <c r="CT291" s="323"/>
      <c r="CU291" s="323"/>
      <c r="CV291" s="323"/>
      <c r="CW291" s="323"/>
      <c r="CX291" s="323"/>
      <c r="CY291" s="323"/>
      <c r="CZ291" s="323"/>
    </row>
    <row r="292" spans="2:222" ht="18.75" customHeight="1" outlineLevel="1" thickBot="1" x14ac:dyDescent="0.4">
      <c r="B292" s="403"/>
      <c r="C292" s="404"/>
      <c r="E292" s="404"/>
      <c r="F292" s="404"/>
      <c r="G292" s="404"/>
      <c r="H292" s="404"/>
      <c r="J292" s="404"/>
      <c r="K292" s="404"/>
      <c r="L292" s="404"/>
      <c r="M292" s="404"/>
      <c r="N292" s="404"/>
      <c r="O292" s="404"/>
      <c r="P292" s="404"/>
      <c r="Q292" s="405"/>
      <c r="R292" s="217"/>
      <c r="U292" s="251"/>
      <c r="V292" s="251"/>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c r="BN292" s="323"/>
      <c r="BO292" s="323"/>
      <c r="BP292" s="323"/>
      <c r="BQ292" s="323"/>
      <c r="BR292" s="323"/>
      <c r="BS292" s="323"/>
      <c r="BT292" s="323"/>
      <c r="BU292" s="323"/>
      <c r="BV292" s="323"/>
      <c r="BW292" s="323"/>
      <c r="BX292" s="323"/>
      <c r="BY292" s="323"/>
      <c r="BZ292" s="323"/>
      <c r="CA292" s="323"/>
      <c r="CB292" s="323"/>
      <c r="CC292" s="323"/>
      <c r="CD292" s="323"/>
      <c r="CE292" s="323"/>
      <c r="CF292" s="323"/>
      <c r="CG292" s="323"/>
      <c r="CH292" s="323"/>
      <c r="CI292" s="323"/>
      <c r="CJ292" s="323"/>
      <c r="CK292" s="323"/>
      <c r="CL292" s="323"/>
      <c r="CM292" s="323"/>
      <c r="CN292" s="323"/>
      <c r="CO292" s="323"/>
      <c r="CP292" s="431"/>
      <c r="CQ292" s="433"/>
      <c r="CR292" s="323"/>
      <c r="CS292" s="323"/>
      <c r="CT292" s="323"/>
      <c r="CU292" s="323"/>
      <c r="CV292" s="323"/>
      <c r="CW292" s="323"/>
      <c r="CX292" s="323"/>
      <c r="CY292" s="323"/>
      <c r="CZ292" s="323"/>
    </row>
    <row r="293" spans="2:222" ht="35.25" customHeight="1" outlineLevel="1" x14ac:dyDescent="0.35">
      <c r="B293" s="493" t="s">
        <v>112</v>
      </c>
      <c r="C293" s="506"/>
      <c r="D293" s="506"/>
      <c r="E293" s="506" t="s">
        <v>37</v>
      </c>
      <c r="F293" s="499"/>
      <c r="G293" s="499"/>
      <c r="H293" s="499"/>
      <c r="I293" s="500" t="str">
        <f>"Vinduestype"&amp;" "&amp;2</f>
        <v>Vinduestype 2</v>
      </c>
      <c r="J293" s="500"/>
      <c r="K293" s="499"/>
      <c r="L293" s="499"/>
      <c r="M293" s="499"/>
      <c r="N293" s="499"/>
      <c r="O293" s="499"/>
      <c r="P293" s="499"/>
      <c r="Q293" s="501"/>
      <c r="R293" s="190"/>
      <c r="S293" s="191"/>
      <c r="U293" s="251"/>
      <c r="V293" s="251"/>
      <c r="W293" s="323"/>
      <c r="X293" s="323"/>
      <c r="Y293" s="323"/>
      <c r="Z293" s="323"/>
      <c r="AA293" s="323"/>
      <c r="AB293" s="323"/>
      <c r="AC293" s="323"/>
      <c r="AD293" s="323"/>
      <c r="AE293" s="323"/>
      <c r="AF293" s="323"/>
      <c r="AG293" s="323"/>
      <c r="AH293" s="323"/>
      <c r="AI293" s="323"/>
      <c r="AJ293" s="323" t="s">
        <v>746</v>
      </c>
      <c r="AK293" s="323" t="s">
        <v>747</v>
      </c>
      <c r="AL293" s="323"/>
      <c r="AM293" s="323"/>
      <c r="AN293" s="323" t="s">
        <v>846</v>
      </c>
      <c r="AO293" s="323"/>
      <c r="AP293" s="323"/>
      <c r="AQ293" s="323"/>
      <c r="AR293" s="323" t="s">
        <v>851</v>
      </c>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c r="BM293" s="323"/>
      <c r="BN293" s="323"/>
      <c r="BO293" s="323"/>
      <c r="BP293" s="323"/>
      <c r="BQ293" s="323"/>
      <c r="BR293" s="323"/>
      <c r="BS293" s="323"/>
      <c r="BT293" s="323"/>
      <c r="BU293" s="323"/>
      <c r="BV293" s="323"/>
      <c r="BW293" s="323"/>
      <c r="BX293" s="323"/>
      <c r="BY293" s="323"/>
      <c r="BZ293" s="323"/>
      <c r="CA293" s="323"/>
      <c r="CB293" s="323"/>
      <c r="CC293" s="323"/>
      <c r="CD293" s="323"/>
      <c r="CE293" s="323"/>
      <c r="CF293" s="323"/>
      <c r="CG293" s="323"/>
      <c r="CH293" s="323"/>
      <c r="CI293" s="323"/>
      <c r="CJ293" s="323"/>
      <c r="CK293" s="323"/>
      <c r="CL293" s="323"/>
      <c r="CM293" s="323"/>
      <c r="CN293" s="323"/>
      <c r="CO293" s="323"/>
      <c r="CP293" s="431"/>
      <c r="CQ293" s="434"/>
      <c r="CR293" s="323"/>
      <c r="CS293" s="323"/>
      <c r="CT293" s="323"/>
      <c r="CU293" s="323"/>
      <c r="CV293" s="323"/>
      <c r="CW293" s="323"/>
      <c r="CX293" s="323"/>
      <c r="CY293" s="323"/>
      <c r="CZ293" s="323"/>
    </row>
    <row r="294" spans="2:222" ht="40.4" customHeight="1" outlineLevel="1" x14ac:dyDescent="0.35">
      <c r="B294" s="359" t="s">
        <v>78</v>
      </c>
      <c r="C294" s="195" t="s">
        <v>80</v>
      </c>
      <c r="D294" s="910" t="s">
        <v>4</v>
      </c>
      <c r="E294" s="911"/>
      <c r="F294" s="911"/>
      <c r="G294" s="911"/>
      <c r="H294" s="912"/>
      <c r="I294" s="885" t="s">
        <v>5</v>
      </c>
      <c r="J294" s="886"/>
      <c r="K294" s="886"/>
      <c r="L294" s="886"/>
      <c r="M294" s="887"/>
      <c r="N294" s="907" t="s">
        <v>79</v>
      </c>
      <c r="O294" s="877"/>
      <c r="P294" s="877"/>
      <c r="Q294" s="877"/>
      <c r="R294" s="192"/>
      <c r="S294" s="193"/>
      <c r="T294" s="175"/>
      <c r="U294" s="251"/>
      <c r="V294" s="251"/>
      <c r="W294" s="323"/>
      <c r="X294" s="323"/>
      <c r="Y294" s="323"/>
      <c r="Z294" s="323"/>
      <c r="AA294" s="323"/>
      <c r="AB294" s="323"/>
      <c r="AC294" s="323"/>
      <c r="AD294" s="323"/>
      <c r="AE294" s="323"/>
      <c r="AF294" s="323"/>
      <c r="AG294" s="323"/>
      <c r="AH294" s="323"/>
      <c r="AI294" s="323" t="s">
        <v>749</v>
      </c>
      <c r="AJ294" s="323">
        <f>VLOOKUP(D297,Pris.vinduetype[],2,0)*C297</f>
        <v>0</v>
      </c>
      <c r="AK294" s="323">
        <f>VLOOKUP(I297,Pris.vinduetype[],2,0)*C297</f>
        <v>0</v>
      </c>
      <c r="AL294" s="323"/>
      <c r="AM294" s="323"/>
      <c r="AN294" s="323" t="s">
        <v>4</v>
      </c>
      <c r="AO294" s="323" t="s">
        <v>5</v>
      </c>
      <c r="AP294" s="323"/>
      <c r="AQ294" s="323"/>
      <c r="AR294" s="323" t="s">
        <v>4</v>
      </c>
      <c r="AS294" s="323" t="s">
        <v>5</v>
      </c>
      <c r="AT294" s="323"/>
      <c r="AU294" s="323"/>
      <c r="AV294" s="323"/>
      <c r="AW294" s="323"/>
      <c r="AX294" s="323"/>
      <c r="AY294" s="323"/>
      <c r="AZ294" s="323"/>
      <c r="BA294" s="323"/>
      <c r="BB294" s="323"/>
      <c r="BC294" s="323"/>
      <c r="BD294" s="323"/>
      <c r="BE294" s="323"/>
      <c r="BF294" s="323"/>
      <c r="BG294" s="323"/>
      <c r="BH294" s="323"/>
      <c r="BI294" s="323"/>
      <c r="BJ294" s="323"/>
      <c r="BK294" s="323"/>
      <c r="BL294" s="323"/>
      <c r="BM294" s="323"/>
      <c r="BN294" s="323"/>
      <c r="BO294" s="323"/>
      <c r="BP294" s="323"/>
      <c r="BQ294" s="323"/>
      <c r="BR294" s="323"/>
      <c r="BS294" s="323"/>
      <c r="BT294" s="323"/>
      <c r="BU294" s="323"/>
      <c r="BV294" s="323"/>
      <c r="BW294" s="323"/>
      <c r="BX294" s="323"/>
      <c r="BY294" s="323"/>
      <c r="BZ294" s="323"/>
      <c r="CA294" s="323"/>
      <c r="CB294" s="323"/>
      <c r="CC294" s="323"/>
      <c r="CD294" s="323"/>
      <c r="CE294" s="323"/>
      <c r="CF294" s="323"/>
      <c r="CG294" s="323"/>
      <c r="CH294" s="323"/>
      <c r="CI294" s="323"/>
      <c r="CJ294" s="323"/>
      <c r="CK294" s="323"/>
      <c r="CL294" s="323"/>
      <c r="CM294" s="323"/>
      <c r="CN294" s="323"/>
      <c r="CO294" s="323"/>
      <c r="CP294" s="431"/>
      <c r="CQ294" s="433"/>
      <c r="CR294" s="323"/>
      <c r="CS294" s="323"/>
      <c r="CT294" s="323"/>
      <c r="CU294" s="323"/>
      <c r="CV294" s="323"/>
      <c r="CW294" s="323"/>
      <c r="CX294" s="323"/>
      <c r="CY294" s="323"/>
      <c r="CZ294" s="323"/>
    </row>
    <row r="295" spans="2:222" ht="33.75" customHeight="1" outlineLevel="1" x14ac:dyDescent="0.35">
      <c r="B295" s="194"/>
      <c r="C295" s="665">
        <v>0</v>
      </c>
      <c r="D295" s="920" t="s">
        <v>81</v>
      </c>
      <c r="E295" s="921"/>
      <c r="F295" s="338" t="s">
        <v>120</v>
      </c>
      <c r="G295" s="338" t="s">
        <v>121</v>
      </c>
      <c r="H295" s="346" t="s">
        <v>84</v>
      </c>
      <c r="I295" s="891" t="s">
        <v>81</v>
      </c>
      <c r="J295" s="892"/>
      <c r="K295" s="479" t="s">
        <v>120</v>
      </c>
      <c r="L295" s="479" t="s">
        <v>121</v>
      </c>
      <c r="M295" s="508" t="s">
        <v>84</v>
      </c>
      <c r="N295" s="195" t="s">
        <v>4</v>
      </c>
      <c r="O295" s="195" t="s">
        <v>85</v>
      </c>
      <c r="P295" s="195" t="s">
        <v>5</v>
      </c>
      <c r="Q295" s="195" t="s">
        <v>86</v>
      </c>
      <c r="R295" s="192"/>
      <c r="S295" s="196"/>
      <c r="U295" s="251"/>
      <c r="V295" s="251"/>
      <c r="W295" s="323" t="s">
        <v>87</v>
      </c>
      <c r="X295" s="323" t="s">
        <v>88</v>
      </c>
      <c r="Y295" s="323" t="s">
        <v>89</v>
      </c>
      <c r="Z295" s="323" t="s">
        <v>90</v>
      </c>
      <c r="AA295" s="323" t="s">
        <v>91</v>
      </c>
      <c r="AB295" s="323"/>
      <c r="AC295" s="323"/>
      <c r="AD295" s="323"/>
      <c r="AE295" s="323" t="s">
        <v>92</v>
      </c>
      <c r="AF295" s="323"/>
      <c r="AG295" s="323"/>
      <c r="AH295" s="323"/>
      <c r="AI295" s="323"/>
      <c r="AJ295" s="323"/>
      <c r="AK295" s="323"/>
      <c r="AL295" s="323"/>
      <c r="AM295" s="323"/>
      <c r="AN295" s="323">
        <f>SUM(AN297:AN301)</f>
        <v>0</v>
      </c>
      <c r="AO295" s="323">
        <f>SUM(AO297:AO301)</f>
        <v>0</v>
      </c>
      <c r="AP295" s="323"/>
      <c r="AQ295" s="323"/>
      <c r="AR295" s="323">
        <f>SUM(AR297:AR300)</f>
        <v>0</v>
      </c>
      <c r="AS295" s="323">
        <f>SUM(AS297:AS300)</f>
        <v>0</v>
      </c>
      <c r="AT295" s="323"/>
      <c r="AU295" s="323"/>
      <c r="AV295" s="323"/>
      <c r="AW295" s="323"/>
      <c r="AX295" s="323"/>
      <c r="AY295" s="323"/>
      <c r="AZ295" s="323"/>
      <c r="BA295" s="323"/>
      <c r="BB295" s="323"/>
      <c r="BC295" s="323"/>
      <c r="BD295" s="323"/>
      <c r="BE295" s="323"/>
      <c r="BF295" s="323"/>
      <c r="BG295" s="323"/>
      <c r="BH295" s="323"/>
      <c r="BI295" s="323"/>
      <c r="BJ295" s="323"/>
      <c r="BK295" s="323"/>
      <c r="BL295" s="323"/>
      <c r="BM295" s="323"/>
      <c r="BN295" s="323"/>
      <c r="BO295" s="323"/>
      <c r="BP295" s="323"/>
      <c r="BQ295" s="323"/>
      <c r="BR295" s="323"/>
      <c r="BS295" s="323"/>
      <c r="BT295" s="323"/>
      <c r="BU295" s="323"/>
      <c r="BV295" s="323"/>
      <c r="BW295" s="323"/>
      <c r="BX295" s="323"/>
      <c r="BY295" s="323"/>
      <c r="BZ295" s="323"/>
      <c r="CA295" s="323"/>
      <c r="CB295" s="323"/>
      <c r="CC295" s="323"/>
      <c r="CD295" s="323"/>
      <c r="CE295" s="323"/>
      <c r="CF295" s="323"/>
      <c r="CG295" s="323"/>
      <c r="CH295" s="323"/>
      <c r="CI295" s="323"/>
      <c r="CJ295" s="323"/>
      <c r="CK295" s="323"/>
      <c r="CL295" s="323"/>
      <c r="CM295" s="323"/>
      <c r="CN295" s="323"/>
      <c r="CO295" s="323"/>
      <c r="CP295" s="431"/>
      <c r="CQ295" s="433"/>
      <c r="CR295" s="323"/>
      <c r="CS295" s="323"/>
      <c r="CT295" s="323"/>
      <c r="CU295" s="323"/>
      <c r="CV295" s="323"/>
      <c r="CW295" s="323"/>
      <c r="CX295" s="323"/>
      <c r="CY295" s="323"/>
      <c r="CZ295" s="323"/>
    </row>
    <row r="296" spans="2:222" s="198" customFormat="1" ht="27.65" customHeight="1" outlineLevel="1" x14ac:dyDescent="0.35">
      <c r="B296" s="199"/>
      <c r="C296" s="200" t="s">
        <v>93</v>
      </c>
      <c r="D296" s="348"/>
      <c r="E296" s="348"/>
      <c r="F296" s="347" t="s">
        <v>122</v>
      </c>
      <c r="G296" s="348" t="s">
        <v>95</v>
      </c>
      <c r="H296" s="349" t="s">
        <v>96</v>
      </c>
      <c r="I296" s="511"/>
      <c r="J296" s="511"/>
      <c r="K296" s="510" t="s">
        <v>122</v>
      </c>
      <c r="L296" s="511" t="s">
        <v>95</v>
      </c>
      <c r="M296" s="512" t="s">
        <v>96</v>
      </c>
      <c r="N296" s="201" t="s">
        <v>97</v>
      </c>
      <c r="O296" s="201" t="s">
        <v>97</v>
      </c>
      <c r="P296" s="201" t="s">
        <v>97</v>
      </c>
      <c r="Q296" s="201" t="s">
        <v>97</v>
      </c>
      <c r="R296" s="202"/>
      <c r="S296" s="203"/>
      <c r="T296" s="204"/>
      <c r="U296" s="325"/>
      <c r="V296" s="325"/>
      <c r="W296" s="323">
        <f>SUM(W297:W302)</f>
        <v>0</v>
      </c>
      <c r="X296" s="323">
        <f>SUM(X297:X302)</f>
        <v>0</v>
      </c>
      <c r="Y296" s="323"/>
      <c r="Z296" s="323"/>
      <c r="AA296" s="323"/>
      <c r="AB296" s="323" t="s">
        <v>111</v>
      </c>
      <c r="AC296" s="323" t="s">
        <v>98</v>
      </c>
      <c r="AD296" s="323" t="s">
        <v>99</v>
      </c>
      <c r="AE296" s="323" t="s">
        <v>100</v>
      </c>
      <c r="AF296" s="323"/>
      <c r="AG296" s="323"/>
      <c r="AH296" s="323"/>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c r="BM296" s="323"/>
      <c r="BN296" s="323"/>
      <c r="BO296" s="323"/>
      <c r="BP296" s="323"/>
      <c r="BQ296" s="323"/>
      <c r="BR296" s="323"/>
      <c r="BS296" s="323"/>
      <c r="BT296" s="323"/>
      <c r="BU296" s="323"/>
      <c r="BV296" s="323"/>
      <c r="BW296" s="323"/>
      <c r="BX296" s="323"/>
      <c r="BY296" s="323"/>
      <c r="BZ296" s="323"/>
      <c r="CA296" s="323"/>
      <c r="CB296" s="323"/>
      <c r="CC296" s="323"/>
      <c r="CD296" s="323"/>
      <c r="CE296" s="323"/>
      <c r="CF296" s="323"/>
      <c r="CG296" s="323"/>
      <c r="CH296" s="323"/>
      <c r="CI296" s="323"/>
      <c r="CJ296" s="323"/>
      <c r="CK296" s="323"/>
      <c r="CL296" s="323"/>
      <c r="CM296" s="323"/>
      <c r="CN296" s="323"/>
      <c r="CO296" s="323"/>
      <c r="CP296" s="435"/>
      <c r="CQ296" s="433"/>
      <c r="CR296" s="323"/>
      <c r="CS296" s="323"/>
      <c r="CT296" s="323"/>
      <c r="CU296" s="323"/>
      <c r="CV296" s="323"/>
      <c r="CW296" s="323"/>
      <c r="CX296" s="323"/>
      <c r="CY296" s="323"/>
      <c r="CZ296" s="323"/>
      <c r="DA296" s="325"/>
      <c r="DB296" s="325"/>
      <c r="DC296" s="325"/>
      <c r="DD296" s="325"/>
      <c r="DE296" s="325"/>
      <c r="DF296" s="325"/>
      <c r="DG296" s="325"/>
      <c r="DH296" s="325"/>
      <c r="DI296" s="325"/>
      <c r="DJ296" s="325"/>
      <c r="DK296" s="325"/>
      <c r="DL296" s="325"/>
      <c r="DM296" s="325"/>
      <c r="DN296" s="325"/>
      <c r="DO296" s="325"/>
      <c r="DP296" s="325"/>
      <c r="DQ296" s="325"/>
      <c r="DR296" s="325"/>
      <c r="DS296" s="325"/>
      <c r="DT296" s="325"/>
      <c r="DU296" s="325"/>
      <c r="DV296" s="325"/>
      <c r="DW296" s="325"/>
      <c r="DX296" s="325"/>
      <c r="DY296" s="325"/>
      <c r="DZ296" s="325"/>
      <c r="EA296" s="325"/>
      <c r="EB296" s="325"/>
      <c r="EC296" s="325"/>
      <c r="ED296" s="325"/>
      <c r="EE296" s="325"/>
      <c r="EF296" s="325"/>
      <c r="EG296" s="325"/>
      <c r="EH296" s="325"/>
      <c r="EI296" s="325"/>
      <c r="EJ296" s="325"/>
      <c r="EK296" s="325"/>
      <c r="EL296" s="325"/>
      <c r="EM296" s="325"/>
      <c r="EN296" s="325"/>
      <c r="EO296" s="325"/>
      <c r="EP296" s="325"/>
      <c r="EQ296" s="325"/>
      <c r="ER296" s="325"/>
      <c r="ES296" s="325"/>
      <c r="ET296" s="325"/>
      <c r="EU296" s="325"/>
      <c r="EV296" s="325"/>
      <c r="EW296" s="325"/>
      <c r="EX296" s="325"/>
      <c r="EY296" s="325"/>
      <c r="EZ296" s="325"/>
      <c r="FA296" s="325"/>
      <c r="FB296" s="325"/>
      <c r="FC296" s="325"/>
      <c r="FD296" s="325"/>
      <c r="FE296" s="325"/>
      <c r="FF296" s="325"/>
      <c r="FG296" s="325"/>
      <c r="FH296" s="325"/>
      <c r="FI296" s="325"/>
      <c r="FJ296" s="325"/>
      <c r="FK296" s="325"/>
      <c r="FL296" s="325"/>
      <c r="FM296" s="325"/>
      <c r="FN296" s="325"/>
      <c r="FO296" s="325"/>
      <c r="FP296" s="325"/>
      <c r="FQ296" s="325"/>
      <c r="FR296" s="325"/>
      <c r="FS296" s="325"/>
      <c r="FT296" s="325"/>
      <c r="FU296" s="325"/>
      <c r="FV296" s="325"/>
      <c r="FW296" s="325"/>
      <c r="FX296" s="325"/>
      <c r="FY296" s="325"/>
      <c r="FZ296" s="325"/>
      <c r="GA296" s="325"/>
      <c r="GB296" s="325"/>
      <c r="GC296" s="325"/>
      <c r="GD296" s="325"/>
      <c r="GE296" s="325"/>
      <c r="GF296" s="325"/>
      <c r="GG296" s="325"/>
      <c r="GH296" s="325"/>
      <c r="GI296" s="325"/>
      <c r="GJ296" s="325"/>
      <c r="GK296" s="325"/>
      <c r="GL296" s="325"/>
      <c r="GM296" s="325"/>
      <c r="GN296" s="325"/>
      <c r="GO296" s="325"/>
      <c r="GP296" s="325"/>
      <c r="GQ296" s="325"/>
      <c r="GR296" s="325"/>
      <c r="GS296" s="325"/>
      <c r="GT296" s="325"/>
      <c r="GU296" s="325"/>
      <c r="GV296" s="325"/>
      <c r="GW296" s="325"/>
      <c r="GX296" s="325"/>
      <c r="GY296" s="325"/>
      <c r="GZ296" s="325"/>
      <c r="HA296" s="325"/>
      <c r="HB296" s="325"/>
      <c r="HC296" s="325"/>
      <c r="HD296" s="325"/>
      <c r="HE296" s="325"/>
      <c r="HF296" s="325"/>
      <c r="HG296" s="325"/>
      <c r="HH296" s="325"/>
      <c r="HI296" s="325"/>
      <c r="HJ296" s="325"/>
      <c r="HK296" s="325"/>
      <c r="HL296" s="325"/>
      <c r="HM296" s="325"/>
      <c r="HN296" s="325"/>
    </row>
    <row r="297" spans="2:222" ht="48" customHeight="1" outlineLevel="1" thickBot="1" x14ac:dyDescent="0.4">
      <c r="B297" s="363" t="str">
        <f>'LCA data'!$B$167</f>
        <v>Vinduer</v>
      </c>
      <c r="C297" s="465">
        <f>$C$47*C295</f>
        <v>0</v>
      </c>
      <c r="D297" s="918" t="s">
        <v>103</v>
      </c>
      <c r="E297" s="919"/>
      <c r="F297" s="388"/>
      <c r="G297" s="16" t="s">
        <v>103</v>
      </c>
      <c r="H297" s="351">
        <f>IFERROR(IF(VLOOKUP(B297&amp;"_"&amp;D297,'LCA data'!$B$7:$X$200,2,FALSE)&lt;$Y$24,1,0)+IF(VLOOKUP(B297&amp;"_"&amp;D297,'LCA data'!$B$7:$X$200,2,FALSE)*2&lt;$Y$24,1,0),"")</f>
        <v>0</v>
      </c>
      <c r="I297" s="918" t="s">
        <v>103</v>
      </c>
      <c r="J297" s="919"/>
      <c r="K297" s="523"/>
      <c r="L297" s="16" t="s">
        <v>103</v>
      </c>
      <c r="M297" s="515">
        <f>IFERROR(IF(VLOOKUP(B297&amp;"_"&amp;I297,'LCA data'!$B$7:$X$200,2,FALSE)&lt;$Y$24,1,0)+IF(VLOOKUP(B297&amp;"_"&amp;I297,'LCA data'!$B$7:$X$200,2,FALSE)*2&lt;$Y$24,1,0),"")</f>
        <v>0</v>
      </c>
      <c r="N297" s="364">
        <f>W297/1000</f>
        <v>0</v>
      </c>
      <c r="O297" s="531">
        <f>N297</f>
        <v>0</v>
      </c>
      <c r="P297" s="365">
        <f>X297/1000</f>
        <v>0</v>
      </c>
      <c r="Q297" s="530">
        <f>P297</f>
        <v>0</v>
      </c>
      <c r="R297" s="192"/>
      <c r="S297" s="196"/>
      <c r="U297" s="251"/>
      <c r="V297" s="251"/>
      <c r="W297" s="323">
        <f>IF(D297="Angiv ikke",0,((1+H297)*VLOOKUP(B297&amp;"_"&amp;D297,'LCA data'!$B$7:$X$360,19,FALSE)*C297))+IF(G297="Angiv ikke",0,VLOOKUP(G295&amp;"_"&amp;G297,'LCA data'!$B$7:$X$360,19,FALSE))*C297</f>
        <v>0</v>
      </c>
      <c r="X297" s="323">
        <f>IF(I297="Angiv ikke",0,((1+M297)*VLOOKUP(B297&amp;"_"&amp;I297,'LCA data'!$B$7:$X$360,19,FALSE)*C297))+IF(L297="Angiv ikke",0,VLOOKUP(L295&amp;"_"&amp;L297,'LCA data'!$B$7:$X$360,19,FALSE))*C297</f>
        <v>0</v>
      </c>
      <c r="Y297" s="323">
        <f>AC297*$J$21*$Y$24</f>
        <v>0</v>
      </c>
      <c r="Z297" s="323">
        <f>AC298*$J$21*$Y$24</f>
        <v>0</v>
      </c>
      <c r="AA297" s="323" t="s">
        <v>4</v>
      </c>
      <c r="AB297" s="323">
        <f>AF297/$J$21/$Y$24*1000</f>
        <v>0</v>
      </c>
      <c r="AC297" s="323">
        <f>Varmetab!H83</f>
        <v>0</v>
      </c>
      <c r="AD297" s="323">
        <f>AB297+AC297</f>
        <v>0</v>
      </c>
      <c r="AE297" s="323" t="s">
        <v>4</v>
      </c>
      <c r="AF297" s="323">
        <f>W296/1000</f>
        <v>0</v>
      </c>
      <c r="AG297" s="323"/>
      <c r="AH297" s="323"/>
      <c r="AI297" s="323"/>
      <c r="AJ297" s="323"/>
      <c r="AK297" s="323"/>
      <c r="AL297" s="323"/>
      <c r="AM297" s="323"/>
      <c r="AN297" s="323">
        <f>IF(G297="Angiv ikke",0,(C297*(VLOOKUP(G295&amp;"_"&amp;G297,'LCA data'!$B$7:$AA$360,9,FALSE))))</f>
        <v>0</v>
      </c>
      <c r="AO297" s="323">
        <f>IF(L297="Angiv ikke",0,(C297*(VLOOKUP(L295&amp;"_"&amp;L297,'LCA data'!$B$7:$AA$360,9,FALSE))))</f>
        <v>0</v>
      </c>
      <c r="AP297" s="323"/>
      <c r="AQ297" s="323"/>
      <c r="AR297" s="323">
        <f>IF(G297="Angiv ikke",0,(C297*(VLOOKUP(G295&amp;"_"&amp;G297,'LCA data'!$B$7:$AA$360,24,FALSE))))</f>
        <v>0</v>
      </c>
      <c r="AS297" s="323">
        <f>IF(L297="Angiv ikke",0,(C297*(VLOOKUP(L295&amp;"_"&amp;L297,'LCA data'!$B$7:$AA$360,24,FALSE))))</f>
        <v>0</v>
      </c>
      <c r="AT297" s="323"/>
      <c r="AU297" s="323"/>
      <c r="AV297" s="323"/>
      <c r="AW297" s="323"/>
      <c r="AX297" s="323"/>
      <c r="AY297" s="323"/>
      <c r="AZ297" s="323"/>
      <c r="BA297" s="323"/>
      <c r="BB297" s="323"/>
      <c r="BC297" s="323"/>
      <c r="BD297" s="323"/>
      <c r="BE297" s="323"/>
      <c r="BF297" s="323"/>
      <c r="BG297" s="323"/>
      <c r="BH297" s="323"/>
      <c r="BI297" s="323"/>
      <c r="BJ297" s="323"/>
      <c r="BK297" s="323"/>
      <c r="BL297" s="323"/>
      <c r="BM297" s="323"/>
      <c r="BN297" s="323"/>
      <c r="BO297" s="323"/>
      <c r="BP297" s="323"/>
      <c r="BQ297" s="323"/>
      <c r="BR297" s="323"/>
      <c r="BS297" s="323"/>
      <c r="BT297" s="323"/>
      <c r="BU297" s="323"/>
      <c r="BV297" s="323"/>
      <c r="BW297" s="323"/>
      <c r="BX297" s="323"/>
      <c r="BY297" s="323"/>
      <c r="BZ297" s="323"/>
      <c r="CA297" s="323"/>
      <c r="CB297" s="323"/>
      <c r="CC297" s="323"/>
      <c r="CD297" s="323"/>
      <c r="CE297" s="323"/>
      <c r="CF297" s="323"/>
      <c r="CG297" s="323"/>
      <c r="CH297" s="323"/>
      <c r="CI297" s="323"/>
      <c r="CJ297" s="323"/>
      <c r="CK297" s="323"/>
      <c r="CL297" s="323"/>
      <c r="CM297" s="323"/>
      <c r="CN297" s="323"/>
      <c r="CO297" s="323"/>
      <c r="CP297" s="443"/>
      <c r="CQ297" s="438"/>
      <c r="CR297" s="323"/>
      <c r="CS297" s="323"/>
      <c r="CT297" s="323"/>
      <c r="CU297" s="323"/>
      <c r="CV297" s="323"/>
      <c r="CW297" s="323"/>
      <c r="CX297" s="323"/>
      <c r="CY297" s="323"/>
      <c r="CZ297" s="323"/>
    </row>
    <row r="298" spans="2:222" ht="48" customHeight="1" outlineLevel="1" x14ac:dyDescent="0.35">
      <c r="B298" s="389" t="s">
        <v>123</v>
      </c>
      <c r="C298" s="201" t="s">
        <v>124</v>
      </c>
      <c r="D298" s="928" t="str">
        <f>IFERROR(IF(F298&gt;0,F298,VLOOKUP(D297,Dropdown!$T$1:$U$8,2,FALSE)),"")</f>
        <v/>
      </c>
      <c r="E298" s="929"/>
      <c r="F298" s="659"/>
      <c r="G298" s="390"/>
      <c r="H298" s="391"/>
      <c r="I298" s="916" t="str">
        <f>IFERROR(IF(K298&gt;0,K298,VLOOKUP(I297,Dropdown!$T$1:$U$8,2,FALSE)),"")</f>
        <v/>
      </c>
      <c r="J298" s="917"/>
      <c r="K298" s="657"/>
      <c r="L298" s="525"/>
      <c r="M298" s="526"/>
      <c r="N298" s="392"/>
      <c r="O298" s="392"/>
      <c r="P298" s="393"/>
      <c r="Q298" s="394"/>
      <c r="R298" s="192"/>
      <c r="S298" s="196"/>
      <c r="U298" s="251"/>
      <c r="V298" s="251"/>
      <c r="W298" s="323"/>
      <c r="X298" s="323"/>
      <c r="Y298" s="323"/>
      <c r="Z298" s="323"/>
      <c r="AA298" s="323" t="s">
        <v>5</v>
      </c>
      <c r="AB298" s="323">
        <f>AG298/$J$21/$Y$24*1000</f>
        <v>0</v>
      </c>
      <c r="AC298" s="323">
        <f>Varmetab!I83</f>
        <v>0</v>
      </c>
      <c r="AD298" s="323">
        <f>AB298+AC298</f>
        <v>0</v>
      </c>
      <c r="AE298" s="323" t="s">
        <v>5</v>
      </c>
      <c r="AF298" s="323"/>
      <c r="AG298" s="323">
        <f>X296/1000</f>
        <v>0</v>
      </c>
      <c r="AH298" s="323"/>
      <c r="AI298" s="323"/>
      <c r="AJ298" s="323"/>
      <c r="AK298" s="323"/>
      <c r="AL298" s="323"/>
      <c r="AM298" s="323"/>
      <c r="AN298" s="323">
        <f>IF(D297="Angiv ikke",0,(C297*(VLOOKUP(B297&amp;"_"&amp;D297,'LCA data'!$B$7:$AA$360,9,FALSE))))</f>
        <v>0</v>
      </c>
      <c r="AO298" s="323">
        <f>IF(I297="Angiv ikke",0,(C297*(VLOOKUP(B297&amp;"_"&amp;I297,'LCA data'!$B$7:$AA$360,9,FALSE))))</f>
        <v>0</v>
      </c>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c r="BM298" s="323"/>
      <c r="BN298" s="323"/>
      <c r="BO298" s="323"/>
      <c r="BP298" s="323"/>
      <c r="BQ298" s="323"/>
      <c r="BR298" s="323"/>
      <c r="BS298" s="323"/>
      <c r="BT298" s="323"/>
      <c r="BU298" s="323"/>
      <c r="BV298" s="323"/>
      <c r="BW298" s="323"/>
      <c r="BX298" s="323"/>
      <c r="BY298" s="323"/>
      <c r="BZ298" s="323"/>
      <c r="CA298" s="323"/>
      <c r="CB298" s="323"/>
      <c r="CC298" s="323"/>
      <c r="CD298" s="323"/>
      <c r="CE298" s="323"/>
      <c r="CF298" s="323"/>
      <c r="CG298" s="323"/>
      <c r="CH298" s="323"/>
      <c r="CI298" s="323"/>
      <c r="CJ298" s="323"/>
      <c r="CK298" s="323"/>
      <c r="CL298" s="323"/>
      <c r="CM298" s="323"/>
      <c r="CN298" s="323"/>
      <c r="CO298" s="323"/>
      <c r="CP298" s="444"/>
      <c r="CQ298" s="428"/>
      <c r="CR298" s="323"/>
      <c r="CS298" s="323"/>
      <c r="CT298" s="323"/>
      <c r="CU298" s="323"/>
      <c r="CV298" s="323"/>
      <c r="CW298" s="323"/>
      <c r="CX298" s="323"/>
      <c r="CY298" s="323"/>
      <c r="CZ298" s="323"/>
    </row>
    <row r="299" spans="2:222" ht="13.5" customHeight="1" outlineLevel="1" thickBot="1" x14ac:dyDescent="0.4">
      <c r="B299" s="395" t="s">
        <v>125</v>
      </c>
      <c r="C299" s="396"/>
      <c r="D299" s="396"/>
      <c r="E299" s="396"/>
      <c r="F299" s="396"/>
      <c r="G299" s="396"/>
      <c r="H299" s="396"/>
      <c r="I299" s="396"/>
      <c r="J299" s="396"/>
      <c r="K299" s="396"/>
      <c r="L299" s="396"/>
      <c r="M299" s="396"/>
      <c r="N299" s="397"/>
      <c r="O299" s="396"/>
      <c r="P299" s="398"/>
      <c r="Q299" s="396"/>
      <c r="R299" s="192"/>
      <c r="S299" s="196"/>
      <c r="U299" s="251"/>
      <c r="V299" s="251"/>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c r="BM299" s="323"/>
      <c r="BN299" s="323"/>
      <c r="BO299" s="323"/>
      <c r="BP299" s="323"/>
      <c r="BQ299" s="323"/>
      <c r="BR299" s="323"/>
      <c r="BS299" s="323"/>
      <c r="BT299" s="323"/>
      <c r="BU299" s="323"/>
      <c r="BV299" s="323"/>
      <c r="BW299" s="323"/>
      <c r="BX299" s="323"/>
      <c r="BY299" s="323"/>
      <c r="BZ299" s="323"/>
      <c r="CA299" s="323"/>
      <c r="CB299" s="323"/>
      <c r="CC299" s="323"/>
      <c r="CD299" s="323"/>
      <c r="CE299" s="323"/>
      <c r="CF299" s="323"/>
      <c r="CG299" s="323"/>
      <c r="CH299" s="323"/>
      <c r="CI299" s="323"/>
      <c r="CJ299" s="323"/>
      <c r="CK299" s="323"/>
      <c r="CL299" s="323"/>
      <c r="CM299" s="323"/>
      <c r="CN299" s="323"/>
      <c r="CO299" s="323"/>
      <c r="CP299" s="444"/>
      <c r="CQ299" s="428"/>
      <c r="CR299" s="323"/>
      <c r="CS299" s="323"/>
      <c r="CT299" s="323"/>
      <c r="CU299" s="323"/>
      <c r="CV299" s="323"/>
      <c r="CW299" s="323"/>
      <c r="CX299" s="323"/>
      <c r="CY299" s="323"/>
      <c r="CZ299" s="323"/>
    </row>
    <row r="300" spans="2:222" ht="18.75" customHeight="1" outlineLevel="1" thickBot="1" x14ac:dyDescent="0.4">
      <c r="B300" s="406"/>
      <c r="C300" s="400"/>
      <c r="D300" s="400"/>
      <c r="E300" s="400"/>
      <c r="F300" s="400"/>
      <c r="G300" s="400"/>
      <c r="H300" s="400"/>
      <c r="I300" s="400"/>
      <c r="J300" s="400"/>
      <c r="K300" s="400"/>
      <c r="L300" s="400"/>
      <c r="M300" s="400"/>
      <c r="N300" s="400"/>
      <c r="O300" s="400"/>
      <c r="P300" s="400"/>
      <c r="Q300" s="402"/>
      <c r="R300" s="212"/>
      <c r="S300" s="213"/>
      <c r="U300" s="251"/>
      <c r="V300" s="251"/>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c r="BN300" s="323"/>
      <c r="BO300" s="323"/>
      <c r="BP300" s="323"/>
      <c r="BQ300" s="323"/>
      <c r="BR300" s="323"/>
      <c r="BS300" s="323"/>
      <c r="BT300" s="323"/>
      <c r="BU300" s="323"/>
      <c r="BV300" s="323"/>
      <c r="BW300" s="323"/>
      <c r="BX300" s="323"/>
      <c r="BY300" s="323"/>
      <c r="BZ300" s="323"/>
      <c r="CA300" s="323"/>
      <c r="CB300" s="323"/>
      <c r="CC300" s="323"/>
      <c r="CD300" s="323"/>
      <c r="CE300" s="323"/>
      <c r="CF300" s="323"/>
      <c r="CG300" s="323"/>
      <c r="CH300" s="323"/>
      <c r="CI300" s="323"/>
      <c r="CJ300" s="323"/>
      <c r="CK300" s="323"/>
      <c r="CL300" s="323"/>
      <c r="CM300" s="323"/>
      <c r="CN300" s="323"/>
      <c r="CO300" s="323"/>
      <c r="CP300" s="1144" t="s">
        <v>77</v>
      </c>
      <c r="CQ300" s="1145"/>
      <c r="CR300" s="323"/>
      <c r="CS300" s="323"/>
      <c r="CT300" s="323"/>
      <c r="CU300" s="323"/>
      <c r="CV300" s="323"/>
      <c r="CW300" s="323"/>
      <c r="CX300" s="323"/>
      <c r="CY300" s="323"/>
      <c r="CZ300" s="323"/>
    </row>
    <row r="301" spans="2:222" ht="18.75" customHeight="1" x14ac:dyDescent="0.35">
      <c r="B301" s="556"/>
      <c r="C301" s="557"/>
      <c r="D301" s="542"/>
      <c r="E301" s="557"/>
      <c r="F301" s="557"/>
      <c r="G301" s="557"/>
      <c r="H301" s="557"/>
      <c r="I301" s="542"/>
      <c r="J301" s="557"/>
      <c r="K301" s="557"/>
      <c r="L301" s="557"/>
      <c r="M301" s="557"/>
      <c r="N301" s="404"/>
      <c r="O301" s="404"/>
      <c r="P301" s="404"/>
      <c r="Q301" s="405"/>
      <c r="R301" s="217"/>
      <c r="U301" s="251"/>
      <c r="V301" s="251"/>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c r="BN301" s="323"/>
      <c r="BO301" s="323"/>
      <c r="BP301" s="323"/>
      <c r="BQ301" s="323"/>
      <c r="BR301" s="323"/>
      <c r="BS301" s="323"/>
      <c r="BT301" s="323"/>
      <c r="BU301" s="323"/>
      <c r="BV301" s="323"/>
      <c r="BW301" s="323"/>
      <c r="BX301" s="323"/>
      <c r="BY301" s="323"/>
      <c r="BZ301" s="323"/>
      <c r="CA301" s="323"/>
      <c r="CB301" s="323"/>
      <c r="CC301" s="323"/>
      <c r="CD301" s="323"/>
      <c r="CE301" s="323"/>
      <c r="CF301" s="323"/>
      <c r="CG301" s="323"/>
      <c r="CH301" s="323"/>
      <c r="CI301" s="323"/>
      <c r="CJ301" s="323"/>
      <c r="CK301" s="323"/>
      <c r="CL301" s="323"/>
      <c r="CM301" s="323"/>
      <c r="CN301" s="323"/>
      <c r="CO301" s="323"/>
      <c r="CP301" s="431"/>
      <c r="CQ301" s="432"/>
      <c r="CR301" s="323"/>
      <c r="CS301" s="323"/>
      <c r="CT301" s="323"/>
      <c r="CU301" s="323"/>
      <c r="CV301" s="323"/>
      <c r="CW301" s="323"/>
      <c r="CX301" s="323"/>
      <c r="CY301" s="323"/>
      <c r="CZ301" s="323"/>
    </row>
    <row r="302" spans="2:222" ht="35.25" hidden="1" customHeight="1" outlineLevel="1" x14ac:dyDescent="0.35">
      <c r="B302" s="493" t="s">
        <v>112</v>
      </c>
      <c r="C302" s="506"/>
      <c r="D302" s="506"/>
      <c r="E302" s="506" t="s">
        <v>37</v>
      </c>
      <c r="F302" s="499"/>
      <c r="G302" s="499"/>
      <c r="H302" s="499"/>
      <c r="I302" s="500" t="str">
        <f>"Vinduestype"&amp;" "&amp;3</f>
        <v>Vinduestype 3</v>
      </c>
      <c r="J302" s="500"/>
      <c r="K302" s="499"/>
      <c r="L302" s="499"/>
      <c r="M302" s="499"/>
      <c r="N302" s="499"/>
      <c r="O302" s="499"/>
      <c r="P302" s="499"/>
      <c r="Q302" s="501"/>
      <c r="R302" s="190"/>
      <c r="S302" s="191"/>
      <c r="U302" s="251"/>
      <c r="V302" s="251"/>
      <c r="W302" s="323"/>
      <c r="X302" s="323"/>
      <c r="Y302" s="323"/>
      <c r="Z302" s="323"/>
      <c r="AA302" s="323"/>
      <c r="AB302" s="323"/>
      <c r="AC302" s="323"/>
      <c r="AD302" s="323"/>
      <c r="AE302" s="323"/>
      <c r="AF302" s="323"/>
      <c r="AG302" s="323"/>
      <c r="AH302" s="323"/>
      <c r="AI302" s="323"/>
      <c r="AJ302" s="323" t="s">
        <v>746</v>
      </c>
      <c r="AK302" s="323" t="s">
        <v>747</v>
      </c>
      <c r="AL302" s="323" t="str">
        <f>IFERROR(AJ302+VLOOKUP(E302&amp;"_"&amp;J302,'LCA data'!$B$7:$X$238,2,FALSE),"")</f>
        <v/>
      </c>
      <c r="AM302" s="323" t="str">
        <f>IFERROR(IF(M302-1&gt;0,VLOOKUP(E302&amp;"_"&amp;J302,'LCA data'!$B$7:$X$200,19,FALSE)*C302,""),"")</f>
        <v/>
      </c>
      <c r="AN302" s="323" t="s">
        <v>846</v>
      </c>
      <c r="AO302" s="323"/>
      <c r="AP302" s="323"/>
      <c r="AQ302" s="323"/>
      <c r="AR302" s="323" t="s">
        <v>851</v>
      </c>
      <c r="AS302" s="323"/>
      <c r="AT302" s="323"/>
      <c r="AU302" s="323"/>
      <c r="AV302" s="323" t="str">
        <f>IFERROR(IF(M302-1&gt;0,VLOOKUP(L299&amp;"_"&amp;L302,'LCA data'!$B$7:$X$200,19,FALSE)*C302,""),"")</f>
        <v/>
      </c>
      <c r="AW302" s="323" t="str">
        <f>IFERROR(AU302+VLOOKUP(L299&amp;"_"&amp;L302,'LCA data'!$B$7:$X$238,2,FALSE),"")</f>
        <v/>
      </c>
      <c r="AX302" s="323" t="str">
        <f>IFERROR(IF(M302-2&gt;0,VLOOKUP(L299&amp;"_"&amp;L302,'LCA data'!$B$7:$X$200,19,FALSE)*C302,""),"")</f>
        <v/>
      </c>
      <c r="AY302" s="323"/>
      <c r="AZ302" s="323"/>
      <c r="BA302" s="323"/>
      <c r="BB302" s="323"/>
      <c r="BC302" s="323"/>
      <c r="BD302" s="323"/>
      <c r="BE302" s="323"/>
      <c r="BF302" s="323"/>
      <c r="BG302" s="323"/>
      <c r="BH302" s="323"/>
      <c r="BI302" s="323"/>
      <c r="BJ302" s="323"/>
      <c r="BK302" s="323"/>
      <c r="BL302" s="323"/>
      <c r="BM302" s="323"/>
      <c r="BN302" s="323"/>
      <c r="BO302" s="323"/>
      <c r="BP302" s="323"/>
      <c r="BQ302" s="323"/>
      <c r="BR302" s="323"/>
      <c r="BS302" s="323"/>
      <c r="BT302" s="323"/>
      <c r="BU302" s="323"/>
      <c r="BV302" s="323"/>
      <c r="BW302" s="323"/>
      <c r="BX302" s="323"/>
      <c r="BY302" s="323"/>
      <c r="BZ302" s="323"/>
      <c r="CA302" s="323"/>
      <c r="CB302" s="323"/>
      <c r="CC302" s="323"/>
      <c r="CD302" s="323"/>
      <c r="CE302" s="323"/>
      <c r="CF302" s="323"/>
      <c r="CG302" s="323"/>
      <c r="CH302" s="323"/>
      <c r="CI302" s="323"/>
      <c r="CJ302" s="323"/>
      <c r="CK302" s="323"/>
      <c r="CL302" s="323"/>
      <c r="CM302" s="323"/>
      <c r="CN302" s="323"/>
      <c r="CO302" s="323"/>
      <c r="CP302" s="431"/>
      <c r="CQ302" s="433"/>
      <c r="CR302" s="323"/>
      <c r="CS302" s="323"/>
      <c r="CT302" s="323"/>
      <c r="CU302" s="323"/>
      <c r="CV302" s="323"/>
      <c r="CW302" s="323"/>
      <c r="CX302" s="323"/>
      <c r="CY302" s="323"/>
      <c r="CZ302" s="323"/>
    </row>
    <row r="303" spans="2:222" ht="40.4" hidden="1" customHeight="1" outlineLevel="1" x14ac:dyDescent="0.35">
      <c r="B303" s="359" t="s">
        <v>78</v>
      </c>
      <c r="C303" s="195" t="s">
        <v>80</v>
      </c>
      <c r="D303" s="910" t="s">
        <v>4</v>
      </c>
      <c r="E303" s="911"/>
      <c r="F303" s="911"/>
      <c r="G303" s="911"/>
      <c r="H303" s="912"/>
      <c r="I303" s="885" t="s">
        <v>5</v>
      </c>
      <c r="J303" s="886"/>
      <c r="K303" s="886"/>
      <c r="L303" s="886"/>
      <c r="M303" s="887"/>
      <c r="N303" s="907" t="s">
        <v>79</v>
      </c>
      <c r="O303" s="877"/>
      <c r="P303" s="877"/>
      <c r="Q303" s="877"/>
      <c r="R303" s="192"/>
      <c r="S303" s="193"/>
      <c r="T303" s="175"/>
      <c r="U303" s="251"/>
      <c r="V303" s="251"/>
      <c r="W303" s="323"/>
      <c r="X303" s="323"/>
      <c r="Y303" s="323"/>
      <c r="Z303" s="323"/>
      <c r="AA303" s="323"/>
      <c r="AB303" s="323"/>
      <c r="AC303" s="323"/>
      <c r="AD303" s="323"/>
      <c r="AE303" s="323"/>
      <c r="AF303" s="323"/>
      <c r="AG303" s="323"/>
      <c r="AH303" s="323"/>
      <c r="AI303" s="323" t="s">
        <v>749</v>
      </c>
      <c r="AJ303" s="323">
        <f>VLOOKUP(D306,Pris.vinduetype[],2,0)*C306</f>
        <v>0</v>
      </c>
      <c r="AK303" s="323">
        <f>VLOOKUP(I306,Pris.vinduetype[],2,0)*C306</f>
        <v>0</v>
      </c>
      <c r="AL303" s="323" t="str">
        <f>IFERROR(AJ303+VLOOKUP(B303&amp;"_"&amp;I303,'LCA data'!$B$7:$X$238,2,FALSE),"")</f>
        <v/>
      </c>
      <c r="AM303" s="323" t="str">
        <f>IFERROR(IF(M303-1&gt;0,VLOOKUP(B303&amp;"_"&amp;I303,'LCA data'!$B$7:$X$200,19,FALSE)*C303,""),"")</f>
        <v/>
      </c>
      <c r="AN303" s="323" t="s">
        <v>4</v>
      </c>
      <c r="AO303" s="323" t="s">
        <v>5</v>
      </c>
      <c r="AP303" s="323"/>
      <c r="AQ303" s="323"/>
      <c r="AR303" s="323" t="s">
        <v>4</v>
      </c>
      <c r="AS303" s="323" t="s">
        <v>5</v>
      </c>
      <c r="AT303" s="323"/>
      <c r="AU303" s="323"/>
      <c r="AV303" s="323" t="str">
        <f>IFERROR(IF(M303-1&gt;0,VLOOKUP(L300&amp;"_"&amp;L303,'LCA data'!$B$7:$X$200,19,FALSE)*C303,""),"")</f>
        <v/>
      </c>
      <c r="AW303" s="323" t="str">
        <f>IFERROR(AU303+VLOOKUP(L300&amp;"_"&amp;L303,'LCA data'!$B$7:$X$238,2,FALSE),"")</f>
        <v/>
      </c>
      <c r="AX303" s="323" t="str">
        <f>IFERROR(IF(M303-2&gt;0,VLOOKUP(L300&amp;"_"&amp;L303,'LCA data'!$B$7:$X$200,19,FALSE)*C303,""),"")</f>
        <v/>
      </c>
      <c r="AY303" s="323"/>
      <c r="AZ303" s="323"/>
      <c r="BA303" s="323"/>
      <c r="BB303" s="323"/>
      <c r="BC303" s="323"/>
      <c r="BD303" s="323"/>
      <c r="BE303" s="323"/>
      <c r="BF303" s="323"/>
      <c r="BG303" s="323"/>
      <c r="BH303" s="323"/>
      <c r="BI303" s="323"/>
      <c r="BJ303" s="323"/>
      <c r="BK303" s="323"/>
      <c r="BL303" s="323"/>
      <c r="BM303" s="323"/>
      <c r="BN303" s="323"/>
      <c r="BO303" s="323"/>
      <c r="BP303" s="323"/>
      <c r="BQ303" s="323"/>
      <c r="BR303" s="323"/>
      <c r="BS303" s="323"/>
      <c r="BT303" s="323"/>
      <c r="BU303" s="323"/>
      <c r="BV303" s="323"/>
      <c r="BW303" s="323"/>
      <c r="BX303" s="323"/>
      <c r="BY303" s="323"/>
      <c r="BZ303" s="323"/>
      <c r="CA303" s="323"/>
      <c r="CB303" s="323"/>
      <c r="CC303" s="323"/>
      <c r="CD303" s="323"/>
      <c r="CE303" s="323"/>
      <c r="CF303" s="323"/>
      <c r="CG303" s="323"/>
      <c r="CH303" s="323"/>
      <c r="CI303" s="323"/>
      <c r="CJ303" s="323"/>
      <c r="CK303" s="323"/>
      <c r="CL303" s="323"/>
      <c r="CM303" s="323"/>
      <c r="CN303" s="323"/>
      <c r="CO303" s="323"/>
      <c r="CP303" s="431"/>
      <c r="CQ303" s="434"/>
      <c r="CR303" s="323"/>
      <c r="CS303" s="323"/>
      <c r="CT303" s="323"/>
      <c r="CU303" s="323"/>
      <c r="CV303" s="323"/>
      <c r="CW303" s="323"/>
      <c r="CX303" s="323"/>
      <c r="CY303" s="323"/>
      <c r="CZ303" s="323"/>
    </row>
    <row r="304" spans="2:222" ht="33.75" hidden="1" customHeight="1" outlineLevel="1" x14ac:dyDescent="0.35">
      <c r="B304" s="194"/>
      <c r="C304" s="665">
        <v>0</v>
      </c>
      <c r="D304" s="920" t="s">
        <v>81</v>
      </c>
      <c r="E304" s="921"/>
      <c r="F304" s="338" t="s">
        <v>120</v>
      </c>
      <c r="G304" s="338" t="s">
        <v>121</v>
      </c>
      <c r="H304" s="346" t="s">
        <v>84</v>
      </c>
      <c r="I304" s="891" t="s">
        <v>81</v>
      </c>
      <c r="J304" s="892"/>
      <c r="K304" s="479" t="s">
        <v>120</v>
      </c>
      <c r="L304" s="479" t="s">
        <v>121</v>
      </c>
      <c r="M304" s="508" t="s">
        <v>84</v>
      </c>
      <c r="N304" s="195" t="s">
        <v>4</v>
      </c>
      <c r="O304" s="195" t="s">
        <v>85</v>
      </c>
      <c r="P304" s="195" t="s">
        <v>5</v>
      </c>
      <c r="Q304" s="195" t="s">
        <v>86</v>
      </c>
      <c r="R304" s="192"/>
      <c r="S304" s="196"/>
      <c r="U304" s="251"/>
      <c r="V304" s="251"/>
      <c r="W304" s="323" t="s">
        <v>87</v>
      </c>
      <c r="X304" s="323" t="s">
        <v>88</v>
      </c>
      <c r="Y304" s="323" t="s">
        <v>89</v>
      </c>
      <c r="Z304" s="323" t="s">
        <v>90</v>
      </c>
      <c r="AA304" s="323" t="s">
        <v>91</v>
      </c>
      <c r="AB304" s="323"/>
      <c r="AC304" s="323"/>
      <c r="AD304" s="323"/>
      <c r="AE304" s="323" t="s">
        <v>92</v>
      </c>
      <c r="AF304" s="323"/>
      <c r="AG304" s="323"/>
      <c r="AH304" s="323"/>
      <c r="AI304" s="323"/>
      <c r="AJ304" s="323"/>
      <c r="AK304" s="323"/>
      <c r="AL304" s="323" t="str">
        <f>IFERROR(AJ304+VLOOKUP(B304&amp;"_"&amp;J304,'LCA data'!$B$7:$X$238,2,FALSE),"")</f>
        <v/>
      </c>
      <c r="AM304" s="323" t="str">
        <f>IFERROR(IF(M304-1&gt;0,VLOOKUP(B304&amp;"_"&amp;J304,'LCA data'!$B$7:$X$200,19,FALSE)*C304,""),"")</f>
        <v/>
      </c>
      <c r="AN304" s="323">
        <f>SUM(AN306:AN310)</f>
        <v>0</v>
      </c>
      <c r="AO304" s="323">
        <f>SUM(AO306:AO310)</f>
        <v>0</v>
      </c>
      <c r="AP304" s="323"/>
      <c r="AQ304" s="323"/>
      <c r="AR304" s="323">
        <f>SUM(AR306:AR309)</f>
        <v>0</v>
      </c>
      <c r="AS304" s="323">
        <f>SUM(AS306:AS309)</f>
        <v>0</v>
      </c>
      <c r="AT304" s="323"/>
      <c r="AU304" s="323"/>
      <c r="AV304" s="323" t="str">
        <f>IFERROR(IF(M304-1&gt;0,VLOOKUP(L302&amp;"_"&amp;L304,'LCA data'!$B$7:$X$200,19,FALSE)*C304,""),"")</f>
        <v/>
      </c>
      <c r="AW304" s="323" t="str">
        <f>IFERROR(AU304+VLOOKUP(L302&amp;"_"&amp;L304,'LCA data'!$B$7:$X$238,2,FALSE),"")</f>
        <v/>
      </c>
      <c r="AX304" s="323" t="str">
        <f>IFERROR(IF(M304-2&gt;0,VLOOKUP(L302&amp;"_"&amp;L304,'LCA data'!$B$7:$X$200,19,FALSE)*C304,""),"")</f>
        <v/>
      </c>
      <c r="AY304" s="323"/>
      <c r="AZ304" s="323"/>
      <c r="BA304" s="323"/>
      <c r="BB304" s="323"/>
      <c r="BC304" s="323"/>
      <c r="BD304" s="323"/>
      <c r="BE304" s="323"/>
      <c r="BF304" s="323"/>
      <c r="BG304" s="323"/>
      <c r="BH304" s="323"/>
      <c r="BI304" s="323"/>
      <c r="BJ304" s="323"/>
      <c r="BK304" s="323"/>
      <c r="BL304" s="323"/>
      <c r="BM304" s="323"/>
      <c r="BN304" s="323"/>
      <c r="BO304" s="323"/>
      <c r="BP304" s="323"/>
      <c r="BQ304" s="323"/>
      <c r="BR304" s="323"/>
      <c r="BS304" s="323"/>
      <c r="BT304" s="323"/>
      <c r="BU304" s="323"/>
      <c r="BV304" s="323"/>
      <c r="BW304" s="323"/>
      <c r="BX304" s="323"/>
      <c r="BY304" s="323"/>
      <c r="BZ304" s="323"/>
      <c r="CA304" s="323"/>
      <c r="CB304" s="323"/>
      <c r="CC304" s="323"/>
      <c r="CD304" s="323"/>
      <c r="CE304" s="323"/>
      <c r="CF304" s="323"/>
      <c r="CG304" s="323"/>
      <c r="CH304" s="323"/>
      <c r="CI304" s="323"/>
      <c r="CJ304" s="323"/>
      <c r="CK304" s="323"/>
      <c r="CL304" s="323"/>
      <c r="CM304" s="323"/>
      <c r="CN304" s="323"/>
      <c r="CO304" s="323"/>
      <c r="CP304" s="431"/>
      <c r="CQ304" s="433"/>
      <c r="CR304" s="323"/>
      <c r="CS304" s="323"/>
      <c r="CT304" s="323"/>
      <c r="CU304" s="323"/>
      <c r="CV304" s="323"/>
      <c r="CW304" s="323"/>
      <c r="CX304" s="323"/>
      <c r="CY304" s="323"/>
      <c r="CZ304" s="323"/>
    </row>
    <row r="305" spans="2:222" s="198" customFormat="1" ht="27.65" hidden="1" customHeight="1" outlineLevel="1" x14ac:dyDescent="0.35">
      <c r="B305" s="199"/>
      <c r="C305" s="200" t="s">
        <v>93</v>
      </c>
      <c r="D305" s="348"/>
      <c r="E305" s="348"/>
      <c r="F305" s="347" t="s">
        <v>122</v>
      </c>
      <c r="G305" s="348" t="s">
        <v>95</v>
      </c>
      <c r="H305" s="349" t="s">
        <v>96</v>
      </c>
      <c r="I305" s="511"/>
      <c r="J305" s="511"/>
      <c r="K305" s="510" t="s">
        <v>122</v>
      </c>
      <c r="L305" s="511" t="s">
        <v>95</v>
      </c>
      <c r="M305" s="512" t="s">
        <v>96</v>
      </c>
      <c r="N305" s="201" t="s">
        <v>97</v>
      </c>
      <c r="O305" s="201" t="s">
        <v>97</v>
      </c>
      <c r="P305" s="201" t="s">
        <v>97</v>
      </c>
      <c r="Q305" s="201" t="s">
        <v>97</v>
      </c>
      <c r="R305" s="202"/>
      <c r="S305" s="203"/>
      <c r="T305" s="204"/>
      <c r="U305" s="325"/>
      <c r="V305" s="325"/>
      <c r="W305" s="323">
        <f>SUM(W306:W311)</f>
        <v>0</v>
      </c>
      <c r="X305" s="323">
        <f>SUM(X306:X311)</f>
        <v>0</v>
      </c>
      <c r="Y305" s="323"/>
      <c r="Z305" s="323"/>
      <c r="AA305" s="323"/>
      <c r="AB305" s="323" t="s">
        <v>111</v>
      </c>
      <c r="AC305" s="323" t="s">
        <v>98</v>
      </c>
      <c r="AD305" s="323" t="s">
        <v>99</v>
      </c>
      <c r="AE305" s="323" t="s">
        <v>100</v>
      </c>
      <c r="AF305" s="323"/>
      <c r="AG305" s="323"/>
      <c r="AH305" s="323"/>
      <c r="AI305" s="323"/>
      <c r="AJ305" s="323"/>
      <c r="AK305" s="323"/>
      <c r="AL305" s="323"/>
      <c r="AM305" s="323"/>
      <c r="AN305" s="323"/>
      <c r="AO305" s="323"/>
      <c r="AP305" s="323"/>
      <c r="AQ305" s="323"/>
      <c r="AR305" s="323"/>
      <c r="AS305" s="323"/>
      <c r="AT305" s="323"/>
      <c r="AU305" s="323"/>
      <c r="AV305" s="323" t="str">
        <f>IFERROR(IF(M305-1&gt;0,VLOOKUP(L303&amp;"_"&amp;L305,'LCA data'!$B$7:$X$200,19,FALSE)*C305,""),"")</f>
        <v/>
      </c>
      <c r="AW305" s="323" t="str">
        <f>IFERROR(AU305+VLOOKUP(L303&amp;"_"&amp;L305,'LCA data'!$B$7:$X$238,2,FALSE),"")</f>
        <v/>
      </c>
      <c r="AX305" s="323" t="str">
        <f>IFERROR(IF(M305-2&gt;0,VLOOKUP(L303&amp;"_"&amp;L305,'LCA data'!$B$7:$X$200,19,FALSE)*C305,""),"")</f>
        <v/>
      </c>
      <c r="AY305" s="323"/>
      <c r="AZ305" s="323"/>
      <c r="BA305" s="323"/>
      <c r="BB305" s="323"/>
      <c r="BC305" s="323"/>
      <c r="BD305" s="323"/>
      <c r="BE305" s="323"/>
      <c r="BF305" s="323"/>
      <c r="BG305" s="323"/>
      <c r="BH305" s="323"/>
      <c r="BI305" s="323"/>
      <c r="BJ305" s="323"/>
      <c r="BK305" s="323"/>
      <c r="BL305" s="323"/>
      <c r="BM305" s="323"/>
      <c r="BN305" s="323"/>
      <c r="BO305" s="323"/>
      <c r="BP305" s="323"/>
      <c r="BQ305" s="323"/>
      <c r="BR305" s="323"/>
      <c r="BS305" s="323"/>
      <c r="BT305" s="323"/>
      <c r="BU305" s="323"/>
      <c r="BV305" s="323"/>
      <c r="BW305" s="323"/>
      <c r="BX305" s="323"/>
      <c r="BY305" s="323"/>
      <c r="BZ305" s="323"/>
      <c r="CA305" s="323"/>
      <c r="CB305" s="323"/>
      <c r="CC305" s="323"/>
      <c r="CD305" s="323"/>
      <c r="CE305" s="323"/>
      <c r="CF305" s="323"/>
      <c r="CG305" s="323"/>
      <c r="CH305" s="323"/>
      <c r="CI305" s="323"/>
      <c r="CJ305" s="323"/>
      <c r="CK305" s="323"/>
      <c r="CL305" s="323"/>
      <c r="CM305" s="323"/>
      <c r="CN305" s="323"/>
      <c r="CO305" s="323"/>
      <c r="CP305" s="431"/>
      <c r="CQ305" s="433"/>
      <c r="CR305" s="323"/>
      <c r="CS305" s="323"/>
      <c r="CT305" s="323"/>
      <c r="CU305" s="323"/>
      <c r="CV305" s="323"/>
      <c r="CW305" s="323"/>
      <c r="CX305" s="323"/>
      <c r="CY305" s="323"/>
      <c r="CZ305" s="323"/>
      <c r="DA305" s="325"/>
      <c r="DB305" s="325"/>
      <c r="DC305" s="325"/>
      <c r="DD305" s="325"/>
      <c r="DE305" s="325"/>
      <c r="DF305" s="325"/>
      <c r="DG305" s="325"/>
      <c r="DH305" s="325"/>
      <c r="DI305" s="325"/>
      <c r="DJ305" s="325"/>
      <c r="DK305" s="325"/>
      <c r="DL305" s="325"/>
      <c r="DM305" s="325"/>
      <c r="DN305" s="325"/>
      <c r="DO305" s="325"/>
      <c r="DP305" s="325"/>
      <c r="DQ305" s="325"/>
      <c r="DR305" s="325"/>
      <c r="DS305" s="325"/>
      <c r="DT305" s="325"/>
      <c r="DU305" s="325"/>
      <c r="DV305" s="325"/>
      <c r="DW305" s="325"/>
      <c r="DX305" s="325"/>
      <c r="DY305" s="325"/>
      <c r="DZ305" s="325"/>
      <c r="EA305" s="325"/>
      <c r="EB305" s="325"/>
      <c r="EC305" s="325"/>
      <c r="ED305" s="325"/>
      <c r="EE305" s="325"/>
      <c r="EF305" s="325"/>
      <c r="EG305" s="325"/>
      <c r="EH305" s="325"/>
      <c r="EI305" s="325"/>
      <c r="EJ305" s="325"/>
      <c r="EK305" s="325"/>
      <c r="EL305" s="325"/>
      <c r="EM305" s="325"/>
      <c r="EN305" s="325"/>
      <c r="EO305" s="325"/>
      <c r="EP305" s="325"/>
      <c r="EQ305" s="325"/>
      <c r="ER305" s="325"/>
      <c r="ES305" s="325"/>
      <c r="ET305" s="325"/>
      <c r="EU305" s="325"/>
      <c r="EV305" s="325"/>
      <c r="EW305" s="325"/>
      <c r="EX305" s="325"/>
      <c r="EY305" s="325"/>
      <c r="EZ305" s="325"/>
      <c r="FA305" s="325"/>
      <c r="FB305" s="325"/>
      <c r="FC305" s="325"/>
      <c r="FD305" s="325"/>
      <c r="FE305" s="325"/>
      <c r="FF305" s="325"/>
      <c r="FG305" s="325"/>
      <c r="FH305" s="325"/>
      <c r="FI305" s="325"/>
      <c r="FJ305" s="325"/>
      <c r="FK305" s="325"/>
      <c r="FL305" s="325"/>
      <c r="FM305" s="325"/>
      <c r="FN305" s="325"/>
      <c r="FO305" s="325"/>
      <c r="FP305" s="325"/>
      <c r="FQ305" s="325"/>
      <c r="FR305" s="325"/>
      <c r="FS305" s="325"/>
      <c r="FT305" s="325"/>
      <c r="FU305" s="325"/>
      <c r="FV305" s="325"/>
      <c r="FW305" s="325"/>
      <c r="FX305" s="325"/>
      <c r="FY305" s="325"/>
      <c r="FZ305" s="325"/>
      <c r="GA305" s="325"/>
      <c r="GB305" s="325"/>
      <c r="GC305" s="325"/>
      <c r="GD305" s="325"/>
      <c r="GE305" s="325"/>
      <c r="GF305" s="325"/>
      <c r="GG305" s="325"/>
      <c r="GH305" s="325"/>
      <c r="GI305" s="325"/>
      <c r="GJ305" s="325"/>
      <c r="GK305" s="325"/>
      <c r="GL305" s="325"/>
      <c r="GM305" s="325"/>
      <c r="GN305" s="325"/>
      <c r="GO305" s="325"/>
      <c r="GP305" s="325"/>
      <c r="GQ305" s="325"/>
      <c r="GR305" s="325"/>
      <c r="GS305" s="325"/>
      <c r="GT305" s="325"/>
      <c r="GU305" s="325"/>
      <c r="GV305" s="325"/>
      <c r="GW305" s="325"/>
      <c r="GX305" s="325"/>
      <c r="GY305" s="325"/>
      <c r="GZ305" s="325"/>
      <c r="HA305" s="325"/>
      <c r="HB305" s="325"/>
      <c r="HC305" s="325"/>
      <c r="HD305" s="325"/>
      <c r="HE305" s="325"/>
      <c r="HF305" s="325"/>
      <c r="HG305" s="325"/>
      <c r="HH305" s="325"/>
      <c r="HI305" s="325"/>
      <c r="HJ305" s="325"/>
      <c r="HK305" s="325"/>
      <c r="HL305" s="325"/>
      <c r="HM305" s="325"/>
      <c r="HN305" s="325"/>
    </row>
    <row r="306" spans="2:222" ht="48" hidden="1" customHeight="1" outlineLevel="1" x14ac:dyDescent="0.35">
      <c r="B306" s="363" t="str">
        <f>'LCA data'!$B$167</f>
        <v>Vinduer</v>
      </c>
      <c r="C306" s="465">
        <f>$C$47*C304</f>
        <v>0</v>
      </c>
      <c r="D306" s="918" t="s">
        <v>103</v>
      </c>
      <c r="E306" s="919"/>
      <c r="F306" s="388"/>
      <c r="G306" s="16" t="s">
        <v>103</v>
      </c>
      <c r="H306" s="351">
        <f>IFERROR(IF(VLOOKUP(B306&amp;"_"&amp;D306,'LCA data'!$B$7:$X$200,2,FALSE)&lt;$Y$24,1,0)+IF(VLOOKUP(B306&amp;"_"&amp;D306,'LCA data'!$B$7:$X$200,2,FALSE)*2&lt;$Y$24,1,0),"")</f>
        <v>0</v>
      </c>
      <c r="I306" s="918" t="s">
        <v>103</v>
      </c>
      <c r="J306" s="919"/>
      <c r="K306" s="523"/>
      <c r="L306" s="16" t="s">
        <v>103</v>
      </c>
      <c r="M306" s="515">
        <f>IFERROR(IF(VLOOKUP(B306&amp;"_"&amp;I306,'LCA data'!$B$7:$X$200,2,FALSE)&lt;$Y$24,1,0)+IF(VLOOKUP(B306&amp;"_"&amp;I306,'LCA data'!$B$7:$X$200,2,FALSE)*2&lt;$Y$24,1,0),"")</f>
        <v>0</v>
      </c>
      <c r="N306" s="364">
        <f>W306/1000</f>
        <v>0</v>
      </c>
      <c r="O306" s="531">
        <f>N306</f>
        <v>0</v>
      </c>
      <c r="P306" s="365">
        <f>X306/1000</f>
        <v>0</v>
      </c>
      <c r="Q306" s="530">
        <f>P306</f>
        <v>0</v>
      </c>
      <c r="R306" s="192"/>
      <c r="S306" s="196"/>
      <c r="U306" s="251"/>
      <c r="V306" s="251"/>
      <c r="W306" s="323">
        <f>IF(D306="Angiv ikke",0,((1+H306)*VLOOKUP(B306&amp;"_"&amp;D306,'LCA data'!$B$7:$X$360,19,FALSE)*C306))+IF(G306="Angiv ikke",0,VLOOKUP(G304&amp;"_"&amp;G306,'LCA data'!$B$7:$X$360,19,FALSE))*C306</f>
        <v>0</v>
      </c>
      <c r="X306" s="323">
        <f>IF(I306="Angiv ikke",0,((1+M306)*VLOOKUP(B306&amp;"_"&amp;I306,'LCA data'!$B$7:$X$360,19,FALSE)*C306))+IF(L306="Angiv ikke",0,VLOOKUP(L304&amp;"_"&amp;L306,'LCA data'!$B$7:$X$360,19,FALSE))*C306</f>
        <v>0</v>
      </c>
      <c r="Y306" s="323">
        <f>AC306*$J$21*$Y$24</f>
        <v>0</v>
      </c>
      <c r="Z306" s="323">
        <f>AC307*$J$21*$Y$24</f>
        <v>0</v>
      </c>
      <c r="AA306" s="323" t="s">
        <v>4</v>
      </c>
      <c r="AB306" s="323">
        <f>AF306/$J$21/$Y$24*1000</f>
        <v>0</v>
      </c>
      <c r="AC306" s="323">
        <f>Varmetab!H84</f>
        <v>0</v>
      </c>
      <c r="AD306" s="323">
        <f>AB306+AC306</f>
        <v>0</v>
      </c>
      <c r="AE306" s="323" t="s">
        <v>4</v>
      </c>
      <c r="AF306" s="323">
        <f>W305/1000</f>
        <v>0</v>
      </c>
      <c r="AG306" s="323"/>
      <c r="AH306" s="323"/>
      <c r="AI306" s="323"/>
      <c r="AJ306" s="323"/>
      <c r="AK306" s="323"/>
      <c r="AL306" s="323"/>
      <c r="AM306" s="323"/>
      <c r="AN306" s="323">
        <f>IF(G306="Angiv ikke",0,(C306*(VLOOKUP(G304&amp;"_"&amp;G306,'LCA data'!$B$7:$AA$360,9,FALSE))))</f>
        <v>0</v>
      </c>
      <c r="AO306" s="323">
        <f>IF(L306="Angiv ikke",0,(C306*(VLOOKUP(L304&amp;"_"&amp;L306,'LCA data'!$B$7:$AA$360,9,FALSE))))</f>
        <v>0</v>
      </c>
      <c r="AP306" s="323"/>
      <c r="AQ306" s="323"/>
      <c r="AR306" s="323">
        <f>IF(G306="Angiv ikke",0,(C306*(VLOOKUP(G304&amp;"_"&amp;G306,'LCA data'!$B$7:$AA$360,24,FALSE))))</f>
        <v>0</v>
      </c>
      <c r="AS306" s="323">
        <f>IF(L306="Angiv ikke",0,(C306*(VLOOKUP(L304&amp;"_"&amp;L306,'LCA data'!$B$7:$AA$360,24,FALSE))))</f>
        <v>0</v>
      </c>
      <c r="AT306" s="323"/>
      <c r="AU306" s="323"/>
      <c r="AV306" s="323" t="str">
        <f>IFERROR(IF(M306-1&gt;0,VLOOKUP(L304&amp;"_"&amp;L306,'LCA data'!$B$7:$X$200,19,FALSE)*C306,""),"")</f>
        <v/>
      </c>
      <c r="AW306" s="323" t="str">
        <f>IFERROR(AU306+VLOOKUP(L304&amp;"_"&amp;L306,'LCA data'!$B$7:$X$238,2,FALSE),"")</f>
        <v/>
      </c>
      <c r="AX306" s="323" t="str">
        <f>IFERROR(IF(M306-2&gt;0,VLOOKUP(L304&amp;"_"&amp;L306,'LCA data'!$B$7:$X$200,19,FALSE)*C306,""),"")</f>
        <v/>
      </c>
      <c r="AY306" s="323"/>
      <c r="AZ306" s="323"/>
      <c r="BA306" s="323"/>
      <c r="BB306" s="323"/>
      <c r="BC306" s="323"/>
      <c r="BD306" s="323"/>
      <c r="BE306" s="323"/>
      <c r="BF306" s="323"/>
      <c r="BG306" s="323"/>
      <c r="BH306" s="323"/>
      <c r="BI306" s="323"/>
      <c r="BJ306" s="323"/>
      <c r="BK306" s="323"/>
      <c r="BL306" s="323"/>
      <c r="BM306" s="323"/>
      <c r="BN306" s="323"/>
      <c r="BO306" s="323"/>
      <c r="BP306" s="323"/>
      <c r="BQ306" s="323"/>
      <c r="BR306" s="323"/>
      <c r="BS306" s="323"/>
      <c r="BT306" s="323"/>
      <c r="BU306" s="323"/>
      <c r="BV306" s="323"/>
      <c r="BW306" s="323"/>
      <c r="BX306" s="323"/>
      <c r="BY306" s="323"/>
      <c r="BZ306" s="323"/>
      <c r="CA306" s="323"/>
      <c r="CB306" s="323"/>
      <c r="CC306" s="323"/>
      <c r="CD306" s="323"/>
      <c r="CE306" s="323"/>
      <c r="CF306" s="323"/>
      <c r="CG306" s="323"/>
      <c r="CH306" s="323"/>
      <c r="CI306" s="323"/>
      <c r="CJ306" s="323"/>
      <c r="CK306" s="323"/>
      <c r="CL306" s="323"/>
      <c r="CM306" s="323"/>
      <c r="CN306" s="323"/>
      <c r="CO306" s="323"/>
      <c r="CP306" s="435"/>
      <c r="CQ306" s="433"/>
      <c r="CR306" s="323"/>
      <c r="CS306" s="323"/>
      <c r="CT306" s="323"/>
      <c r="CU306" s="323"/>
      <c r="CV306" s="323"/>
      <c r="CW306" s="323"/>
      <c r="CX306" s="323"/>
      <c r="CY306" s="323"/>
      <c r="CZ306" s="323"/>
    </row>
    <row r="307" spans="2:222" ht="48" hidden="1" customHeight="1" outlineLevel="1" thickBot="1" x14ac:dyDescent="0.4">
      <c r="B307" s="389" t="s">
        <v>123</v>
      </c>
      <c r="C307" s="201" t="s">
        <v>124</v>
      </c>
      <c r="D307" s="928" t="str">
        <f>IFERROR(IF(F307&gt;0,F307,VLOOKUP(D306,Dropdown!$T$1:$U$8,2,FALSE)),"")</f>
        <v/>
      </c>
      <c r="E307" s="929"/>
      <c r="F307" s="659"/>
      <c r="G307" s="390"/>
      <c r="H307" s="391"/>
      <c r="I307" s="916" t="str">
        <f>IFERROR(IF(K307&gt;0,K307,VLOOKUP(I306,Dropdown!$T$1:$U$8,2,FALSE)),"")</f>
        <v/>
      </c>
      <c r="J307" s="917"/>
      <c r="K307" s="657"/>
      <c r="L307" s="525"/>
      <c r="M307" s="526"/>
      <c r="N307" s="392"/>
      <c r="O307" s="392"/>
      <c r="P307" s="393"/>
      <c r="Q307" s="394"/>
      <c r="R307" s="192"/>
      <c r="S307" s="196"/>
      <c r="U307" s="251"/>
      <c r="V307" s="251"/>
      <c r="W307" s="323"/>
      <c r="X307" s="323"/>
      <c r="Y307" s="323"/>
      <c r="Z307" s="323"/>
      <c r="AA307" s="323" t="s">
        <v>5</v>
      </c>
      <c r="AB307" s="323">
        <f>AG307/$J$21/$Y$24*1000</f>
        <v>0</v>
      </c>
      <c r="AC307" s="323">
        <f>Varmetab!I84</f>
        <v>0</v>
      </c>
      <c r="AD307" s="323">
        <f>AB307+AC307</f>
        <v>0</v>
      </c>
      <c r="AE307" s="323" t="s">
        <v>5</v>
      </c>
      <c r="AF307" s="323"/>
      <c r="AG307" s="323">
        <f>X305/1000</f>
        <v>0</v>
      </c>
      <c r="AH307" s="323"/>
      <c r="AI307" s="323"/>
      <c r="AJ307" s="323"/>
      <c r="AK307" s="323"/>
      <c r="AL307" s="323"/>
      <c r="AM307" s="323"/>
      <c r="AN307" s="323">
        <f>IF(D306="Angiv ikke",0,(C306*(VLOOKUP(B306&amp;"_"&amp;D306,'LCA data'!$B$7:$AA$360,9,FALSE))))</f>
        <v>0</v>
      </c>
      <c r="AO307" s="323">
        <f>IF(I306="Angiv ikke",0,(C306*(VLOOKUP(B306&amp;"_"&amp;I306,'LCA data'!$B$7:$AA$360,9,FALSE))))</f>
        <v>0</v>
      </c>
      <c r="AP307" s="323"/>
      <c r="AQ307" s="323"/>
      <c r="AR307" s="323"/>
      <c r="AS307" s="323"/>
      <c r="AT307" s="323"/>
      <c r="AU307" s="323"/>
      <c r="AV307" s="323" t="str">
        <f>IFERROR(IF(M307-1&gt;0,VLOOKUP(L305&amp;"_"&amp;L307,'LCA data'!$B$7:$X$200,19,FALSE)*C307,""),"")</f>
        <v/>
      </c>
      <c r="AW307" s="323" t="str">
        <f>IFERROR(AU307+VLOOKUP(L305&amp;"_"&amp;L307,'LCA data'!$B$7:$X$238,2,FALSE),"")</f>
        <v/>
      </c>
      <c r="AX307" s="323" t="str">
        <f>IFERROR(IF(M307-2&gt;0,VLOOKUP(L305&amp;"_"&amp;L307,'LCA data'!$B$7:$X$200,19,FALSE)*C307,""),"")</f>
        <v/>
      </c>
      <c r="AY307" s="323"/>
      <c r="AZ307" s="323"/>
      <c r="BA307" s="323"/>
      <c r="BB307" s="323"/>
      <c r="BC307" s="323"/>
      <c r="BD307" s="323"/>
      <c r="BE307" s="323"/>
      <c r="BF307" s="323"/>
      <c r="BG307" s="323"/>
      <c r="BH307" s="323"/>
      <c r="BI307" s="323"/>
      <c r="BJ307" s="323"/>
      <c r="BK307" s="323"/>
      <c r="BL307" s="323"/>
      <c r="BM307" s="323"/>
      <c r="BN307" s="323"/>
      <c r="BO307" s="323"/>
      <c r="BP307" s="323"/>
      <c r="BQ307" s="323"/>
      <c r="BR307" s="323"/>
      <c r="BS307" s="323"/>
      <c r="BT307" s="323"/>
      <c r="BU307" s="323"/>
      <c r="BV307" s="323"/>
      <c r="BW307" s="323"/>
      <c r="BX307" s="323"/>
      <c r="BY307" s="323"/>
      <c r="BZ307" s="323"/>
      <c r="CA307" s="323"/>
      <c r="CB307" s="323"/>
      <c r="CC307" s="323"/>
      <c r="CD307" s="323"/>
      <c r="CE307" s="323"/>
      <c r="CF307" s="323"/>
      <c r="CG307" s="323"/>
      <c r="CH307" s="323"/>
      <c r="CI307" s="323"/>
      <c r="CJ307" s="323"/>
      <c r="CK307" s="323"/>
      <c r="CL307" s="323"/>
      <c r="CM307" s="323"/>
      <c r="CN307" s="323"/>
      <c r="CO307" s="323"/>
      <c r="CP307" s="442"/>
      <c r="CQ307" s="438"/>
      <c r="CR307" s="323"/>
      <c r="CS307" s="323"/>
      <c r="CT307" s="323"/>
      <c r="CU307" s="323"/>
      <c r="CV307" s="323"/>
      <c r="CW307" s="323"/>
      <c r="CX307" s="323"/>
      <c r="CY307" s="323"/>
      <c r="CZ307" s="323"/>
    </row>
    <row r="308" spans="2:222" ht="13.5" hidden="1" customHeight="1" outlineLevel="1" thickBot="1" x14ac:dyDescent="0.4">
      <c r="B308" s="395" t="s">
        <v>125</v>
      </c>
      <c r="C308" s="396"/>
      <c r="D308" s="396"/>
      <c r="E308" s="396"/>
      <c r="F308" s="396"/>
      <c r="G308" s="396"/>
      <c r="H308" s="396"/>
      <c r="I308" s="396"/>
      <c r="J308" s="396"/>
      <c r="K308" s="396"/>
      <c r="L308" s="396"/>
      <c r="M308" s="396"/>
      <c r="N308" s="397"/>
      <c r="O308" s="396"/>
      <c r="P308" s="398"/>
      <c r="Q308" s="396"/>
      <c r="R308" s="192"/>
      <c r="S308" s="196"/>
      <c r="U308" s="251"/>
      <c r="V308" s="251"/>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t="str">
        <f>IFERROR(IF(M308-1&gt;0,VLOOKUP(L306&amp;"_"&amp;L308,'LCA data'!$B$7:$X$200,19,FALSE)*C308,""),"")</f>
        <v/>
      </c>
      <c r="AW308" s="323" t="str">
        <f>IFERROR(AU308+VLOOKUP(L306&amp;"_"&amp;L308,'LCA data'!$B$7:$X$238,2,FALSE),"")</f>
        <v/>
      </c>
      <c r="AX308" s="323" t="str">
        <f>IFERROR(IF(M308-2&gt;0,VLOOKUP(L306&amp;"_"&amp;L308,'LCA data'!$B$7:$X$200,19,FALSE)*C308,""),"")</f>
        <v/>
      </c>
      <c r="AY308" s="323"/>
      <c r="AZ308" s="323"/>
      <c r="BA308" s="323"/>
      <c r="BB308" s="323"/>
      <c r="BC308" s="323"/>
      <c r="BD308" s="323"/>
      <c r="BE308" s="323"/>
      <c r="BF308" s="323"/>
      <c r="BG308" s="323"/>
      <c r="BH308" s="323"/>
      <c r="BI308" s="323"/>
      <c r="BJ308" s="323"/>
      <c r="BK308" s="323"/>
      <c r="BL308" s="323"/>
      <c r="BM308" s="323"/>
      <c r="BN308" s="323"/>
      <c r="BO308" s="323"/>
      <c r="BP308" s="323"/>
      <c r="BQ308" s="323"/>
      <c r="BR308" s="323"/>
      <c r="BS308" s="323"/>
      <c r="BT308" s="323"/>
      <c r="BU308" s="323"/>
      <c r="BV308" s="323"/>
      <c r="BW308" s="323"/>
      <c r="BX308" s="323"/>
      <c r="BY308" s="323"/>
      <c r="BZ308" s="323"/>
      <c r="CA308" s="323"/>
      <c r="CB308" s="323"/>
      <c r="CC308" s="323"/>
      <c r="CD308" s="323"/>
      <c r="CE308" s="323"/>
      <c r="CF308" s="323"/>
      <c r="CG308" s="323"/>
      <c r="CH308" s="323"/>
      <c r="CI308" s="323"/>
      <c r="CJ308" s="323"/>
      <c r="CK308" s="323"/>
      <c r="CL308" s="323"/>
      <c r="CM308" s="323"/>
      <c r="CN308" s="323"/>
      <c r="CO308" s="323"/>
      <c r="CP308" s="444"/>
      <c r="CQ308" s="428"/>
      <c r="CR308" s="323"/>
      <c r="CS308" s="323"/>
      <c r="CT308" s="323"/>
      <c r="CU308" s="323"/>
      <c r="CV308" s="323"/>
      <c r="CW308" s="323"/>
      <c r="CX308" s="323"/>
      <c r="CY308" s="323"/>
      <c r="CZ308" s="323"/>
    </row>
    <row r="309" spans="2:222" ht="13.5" hidden="1" customHeight="1" outlineLevel="1" thickBot="1" x14ac:dyDescent="0.4">
      <c r="B309" s="399"/>
      <c r="C309" s="400"/>
      <c r="D309" s="400"/>
      <c r="E309" s="400"/>
      <c r="F309" s="400"/>
      <c r="G309" s="400"/>
      <c r="H309" s="400"/>
      <c r="I309" s="400"/>
      <c r="J309" s="400"/>
      <c r="K309" s="400"/>
      <c r="L309" s="400"/>
      <c r="M309" s="400"/>
      <c r="N309" s="401"/>
      <c r="O309" s="400"/>
      <c r="P309" s="402"/>
      <c r="Q309" s="400"/>
      <c r="R309" s="212"/>
      <c r="S309" s="213"/>
      <c r="U309" s="251"/>
      <c r="V309" s="251"/>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c r="BM309" s="323"/>
      <c r="BN309" s="323"/>
      <c r="BO309" s="323"/>
      <c r="BP309" s="323"/>
      <c r="BQ309" s="323"/>
      <c r="BR309" s="323"/>
      <c r="BS309" s="323"/>
      <c r="BT309" s="323"/>
      <c r="BU309" s="323"/>
      <c r="BV309" s="323"/>
      <c r="BW309" s="323"/>
      <c r="BX309" s="323"/>
      <c r="BY309" s="323"/>
      <c r="BZ309" s="323"/>
      <c r="CA309" s="323"/>
      <c r="CB309" s="323"/>
      <c r="CC309" s="323"/>
      <c r="CD309" s="323"/>
      <c r="CE309" s="323"/>
      <c r="CF309" s="323"/>
      <c r="CG309" s="323"/>
      <c r="CH309" s="323"/>
      <c r="CI309" s="323"/>
      <c r="CJ309" s="323"/>
      <c r="CK309" s="323"/>
      <c r="CL309" s="323"/>
      <c r="CM309" s="323"/>
      <c r="CN309" s="323"/>
      <c r="CO309" s="323"/>
      <c r="CP309" s="1144" t="s">
        <v>77</v>
      </c>
      <c r="CQ309" s="1145"/>
      <c r="CR309" s="323"/>
      <c r="CS309" s="323"/>
      <c r="CT309" s="323"/>
      <c r="CU309" s="323"/>
      <c r="CV309" s="323"/>
      <c r="CW309" s="323"/>
      <c r="CX309" s="323"/>
      <c r="CY309" s="323"/>
      <c r="CZ309" s="323"/>
    </row>
    <row r="310" spans="2:222" ht="18.75" customHeight="1" collapsed="1" x14ac:dyDescent="0.35">
      <c r="B310" s="556"/>
      <c r="C310" s="557"/>
      <c r="D310" s="542"/>
      <c r="E310" s="557"/>
      <c r="F310" s="557"/>
      <c r="G310" s="557"/>
      <c r="H310" s="557"/>
      <c r="I310" s="542"/>
      <c r="J310" s="557"/>
      <c r="K310" s="557"/>
      <c r="L310" s="557"/>
      <c r="M310" s="557"/>
      <c r="N310" s="404"/>
      <c r="O310" s="404"/>
      <c r="P310" s="404"/>
      <c r="Q310" s="405"/>
      <c r="R310" s="217"/>
      <c r="U310" s="251"/>
      <c r="V310" s="251"/>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t="str">
        <f>IFERROR(IF(M310-1&gt;0,VLOOKUP(L307&amp;"_"&amp;L310,'LCA data'!$B$7:$X$200,19,FALSE)*C310,""),"")</f>
        <v/>
      </c>
      <c r="AW310" s="323" t="str">
        <f>IFERROR(AU310+VLOOKUP(L307&amp;"_"&amp;L310,'LCA data'!$B$7:$X$238,2,FALSE),"")</f>
        <v/>
      </c>
      <c r="AX310" s="323" t="str">
        <f>IFERROR(IF(M310-2&gt;0,VLOOKUP(L307&amp;"_"&amp;L310,'LCA data'!$B$7:$X$200,19,FALSE)*C310,""),"")</f>
        <v/>
      </c>
      <c r="AY310" s="323"/>
      <c r="AZ310" s="323"/>
      <c r="BA310" s="323"/>
      <c r="BB310" s="323"/>
      <c r="BC310" s="323"/>
      <c r="BD310" s="323"/>
      <c r="BE310" s="323"/>
      <c r="BF310" s="323"/>
      <c r="BG310" s="323"/>
      <c r="BH310" s="323"/>
      <c r="BI310" s="323"/>
      <c r="BJ310" s="323"/>
      <c r="BK310" s="323"/>
      <c r="BL310" s="323"/>
      <c r="BM310" s="323"/>
      <c r="BN310" s="323"/>
      <c r="BO310" s="323"/>
      <c r="BP310" s="323"/>
      <c r="BQ310" s="323"/>
      <c r="BR310" s="323"/>
      <c r="BS310" s="323"/>
      <c r="BT310" s="323"/>
      <c r="BU310" s="323"/>
      <c r="BV310" s="323"/>
      <c r="BW310" s="323"/>
      <c r="BX310" s="323"/>
      <c r="BY310" s="323"/>
      <c r="BZ310" s="323"/>
      <c r="CA310" s="323"/>
      <c r="CB310" s="323"/>
      <c r="CC310" s="323"/>
      <c r="CD310" s="323"/>
      <c r="CE310" s="323"/>
      <c r="CF310" s="323"/>
      <c r="CG310" s="323"/>
      <c r="CH310" s="323"/>
      <c r="CI310" s="323"/>
      <c r="CJ310" s="323"/>
      <c r="CK310" s="323"/>
      <c r="CL310" s="323"/>
      <c r="CM310" s="323"/>
      <c r="CN310" s="323"/>
      <c r="CO310" s="323"/>
      <c r="CP310" s="431"/>
      <c r="CQ310" s="432"/>
      <c r="CR310" s="323"/>
      <c r="CS310" s="323"/>
      <c r="CT310" s="323"/>
      <c r="CU310" s="323"/>
      <c r="CV310" s="323"/>
      <c r="CW310" s="323"/>
      <c r="CX310" s="323"/>
      <c r="CY310" s="323"/>
      <c r="CZ310" s="323"/>
    </row>
    <row r="311" spans="2:222" ht="35.25" hidden="1" customHeight="1" outlineLevel="1" x14ac:dyDescent="0.35">
      <c r="B311" s="493" t="s">
        <v>112</v>
      </c>
      <c r="C311" s="506"/>
      <c r="D311" s="506"/>
      <c r="E311" s="506" t="s">
        <v>37</v>
      </c>
      <c r="F311" s="499"/>
      <c r="G311" s="499"/>
      <c r="H311" s="499"/>
      <c r="I311" s="500" t="str">
        <f>"Vinduestype"&amp;" "&amp;4</f>
        <v>Vinduestype 4</v>
      </c>
      <c r="J311" s="500"/>
      <c r="K311" s="499"/>
      <c r="L311" s="499"/>
      <c r="M311" s="499"/>
      <c r="N311" s="499"/>
      <c r="O311" s="499"/>
      <c r="P311" s="499"/>
      <c r="Q311" s="501"/>
      <c r="R311" s="190"/>
      <c r="S311" s="191"/>
      <c r="U311" s="251"/>
      <c r="V311" s="251"/>
      <c r="W311" s="323"/>
      <c r="X311" s="323"/>
      <c r="Y311" s="323"/>
      <c r="Z311" s="323"/>
      <c r="AA311" s="323"/>
      <c r="AB311" s="323"/>
      <c r="AC311" s="323"/>
      <c r="AD311" s="323"/>
      <c r="AE311" s="323"/>
      <c r="AF311" s="323"/>
      <c r="AG311" s="323"/>
      <c r="AH311" s="323"/>
      <c r="AI311" s="323"/>
      <c r="AJ311" s="323" t="s">
        <v>746</v>
      </c>
      <c r="AK311" s="323" t="s">
        <v>747</v>
      </c>
      <c r="AL311" s="323"/>
      <c r="AM311" s="323"/>
      <c r="AN311" s="323" t="s">
        <v>846</v>
      </c>
      <c r="AO311" s="323"/>
      <c r="AP311" s="323"/>
      <c r="AQ311" s="323"/>
      <c r="AR311" s="323" t="s">
        <v>851</v>
      </c>
      <c r="AS311" s="323"/>
      <c r="AT311" s="323"/>
      <c r="AU311" s="323"/>
      <c r="AV311" s="323" t="str">
        <f>IFERROR(IF(M311-1&gt;0,VLOOKUP(L308&amp;"_"&amp;L311,'LCA data'!$B$7:$X$200,19,FALSE)*C311,""),"")</f>
        <v/>
      </c>
      <c r="AW311" s="323" t="str">
        <f>IFERROR(AU311+VLOOKUP(L308&amp;"_"&amp;L311,'LCA data'!$B$7:$X$238,2,FALSE),"")</f>
        <v/>
      </c>
      <c r="AX311" s="323" t="str">
        <f>IFERROR(IF(M311-2&gt;0,VLOOKUP(L308&amp;"_"&amp;L311,'LCA data'!$B$7:$X$200,19,FALSE)*C311,""),"")</f>
        <v/>
      </c>
      <c r="AY311" s="323"/>
      <c r="AZ311" s="323"/>
      <c r="BA311" s="323"/>
      <c r="BB311" s="323"/>
      <c r="BC311" s="323"/>
      <c r="BD311" s="323"/>
      <c r="BE311" s="323"/>
      <c r="BF311" s="323"/>
      <c r="BG311" s="323"/>
      <c r="BH311" s="323"/>
      <c r="BI311" s="323"/>
      <c r="BJ311" s="323"/>
      <c r="BK311" s="323"/>
      <c r="BL311" s="323"/>
      <c r="BM311" s="323"/>
      <c r="BN311" s="323"/>
      <c r="BO311" s="323"/>
      <c r="BP311" s="323"/>
      <c r="BQ311" s="323"/>
      <c r="BR311" s="323"/>
      <c r="BS311" s="323"/>
      <c r="BT311" s="323"/>
      <c r="BU311" s="323"/>
      <c r="BV311" s="323"/>
      <c r="BW311" s="323"/>
      <c r="BX311" s="323"/>
      <c r="BY311" s="323"/>
      <c r="BZ311" s="323"/>
      <c r="CA311" s="323"/>
      <c r="CB311" s="323"/>
      <c r="CC311" s="323"/>
      <c r="CD311" s="323"/>
      <c r="CE311" s="323"/>
      <c r="CF311" s="323"/>
      <c r="CG311" s="323"/>
      <c r="CH311" s="323"/>
      <c r="CI311" s="323"/>
      <c r="CJ311" s="323"/>
      <c r="CK311" s="323"/>
      <c r="CL311" s="323"/>
      <c r="CM311" s="323"/>
      <c r="CN311" s="323"/>
      <c r="CO311" s="323"/>
      <c r="CP311" s="431"/>
      <c r="CQ311" s="433"/>
      <c r="CR311" s="323"/>
      <c r="CS311" s="323"/>
      <c r="CT311" s="323"/>
      <c r="CU311" s="323"/>
      <c r="CV311" s="323"/>
      <c r="CW311" s="323"/>
      <c r="CX311" s="323"/>
      <c r="CY311" s="323"/>
      <c r="CZ311" s="323"/>
    </row>
    <row r="312" spans="2:222" ht="40.4" hidden="1" customHeight="1" outlineLevel="1" x14ac:dyDescent="0.35">
      <c r="B312" s="359" t="s">
        <v>78</v>
      </c>
      <c r="C312" s="195" t="s">
        <v>80</v>
      </c>
      <c r="D312" s="910" t="s">
        <v>4</v>
      </c>
      <c r="E312" s="911"/>
      <c r="F312" s="911"/>
      <c r="G312" s="911"/>
      <c r="H312" s="912"/>
      <c r="I312" s="885" t="s">
        <v>5</v>
      </c>
      <c r="J312" s="886"/>
      <c r="K312" s="886"/>
      <c r="L312" s="886"/>
      <c r="M312" s="887"/>
      <c r="N312" s="907" t="s">
        <v>79</v>
      </c>
      <c r="O312" s="877"/>
      <c r="P312" s="877"/>
      <c r="Q312" s="877"/>
      <c r="R312" s="192"/>
      <c r="S312" s="193"/>
      <c r="T312" s="175"/>
      <c r="U312" s="251"/>
      <c r="V312" s="251"/>
      <c r="W312" s="323"/>
      <c r="X312" s="323"/>
      <c r="Y312" s="323"/>
      <c r="Z312" s="323"/>
      <c r="AA312" s="323"/>
      <c r="AB312" s="323"/>
      <c r="AC312" s="323"/>
      <c r="AD312" s="323"/>
      <c r="AE312" s="323"/>
      <c r="AF312" s="323"/>
      <c r="AG312" s="323"/>
      <c r="AH312" s="323"/>
      <c r="AI312" s="323" t="s">
        <v>749</v>
      </c>
      <c r="AJ312" s="323">
        <f>VLOOKUP(D315,Pris.vinduetype[],2,0)*C315</f>
        <v>0</v>
      </c>
      <c r="AK312" s="323">
        <f>VLOOKUP(I315,Pris.vinduetype[],2,0)*C315</f>
        <v>0</v>
      </c>
      <c r="AL312" s="323"/>
      <c r="AM312" s="323"/>
      <c r="AN312" s="323" t="s">
        <v>4</v>
      </c>
      <c r="AO312" s="323" t="s">
        <v>5</v>
      </c>
      <c r="AP312" s="323"/>
      <c r="AQ312" s="323"/>
      <c r="AR312" s="323" t="s">
        <v>4</v>
      </c>
      <c r="AS312" s="323" t="s">
        <v>5</v>
      </c>
      <c r="AT312" s="323"/>
      <c r="AU312" s="323"/>
      <c r="AV312" s="323" t="str">
        <f>IFERROR(IF(M312-1&gt;0,VLOOKUP(L310&amp;"_"&amp;L312,'LCA data'!$B$7:$X$200,19,FALSE)*C312,""),"")</f>
        <v/>
      </c>
      <c r="AW312" s="323" t="str">
        <f>IFERROR(AU312+VLOOKUP(L310&amp;"_"&amp;L312,'LCA data'!$B$7:$X$238,2,FALSE),"")</f>
        <v/>
      </c>
      <c r="AX312" s="323" t="str">
        <f>IFERROR(IF(M312-2&gt;0,VLOOKUP(L310&amp;"_"&amp;L312,'LCA data'!$B$7:$X$200,19,FALSE)*C312,""),"")</f>
        <v/>
      </c>
      <c r="AY312" s="323"/>
      <c r="AZ312" s="323"/>
      <c r="BA312" s="323"/>
      <c r="BB312" s="323"/>
      <c r="BC312" s="323"/>
      <c r="BD312" s="323"/>
      <c r="BE312" s="323"/>
      <c r="BF312" s="323"/>
      <c r="BG312" s="323"/>
      <c r="BH312" s="323"/>
      <c r="BI312" s="323"/>
      <c r="BJ312" s="323"/>
      <c r="BK312" s="323"/>
      <c r="BL312" s="323"/>
      <c r="BM312" s="323"/>
      <c r="BN312" s="323"/>
      <c r="BO312" s="323"/>
      <c r="BP312" s="323"/>
      <c r="BQ312" s="323"/>
      <c r="BR312" s="323"/>
      <c r="BS312" s="323"/>
      <c r="BT312" s="323"/>
      <c r="BU312" s="323"/>
      <c r="BV312" s="323"/>
      <c r="BW312" s="323"/>
      <c r="BX312" s="323"/>
      <c r="BY312" s="323"/>
      <c r="BZ312" s="323"/>
      <c r="CA312" s="323"/>
      <c r="CB312" s="323"/>
      <c r="CC312" s="323"/>
      <c r="CD312" s="323"/>
      <c r="CE312" s="323"/>
      <c r="CF312" s="323"/>
      <c r="CG312" s="323"/>
      <c r="CH312" s="323"/>
      <c r="CI312" s="323"/>
      <c r="CJ312" s="323"/>
      <c r="CK312" s="323"/>
      <c r="CL312" s="323"/>
      <c r="CM312" s="323"/>
      <c r="CN312" s="323"/>
      <c r="CO312" s="323"/>
      <c r="CP312" s="431"/>
      <c r="CQ312" s="434"/>
      <c r="CR312" s="323"/>
      <c r="CS312" s="323"/>
      <c r="CT312" s="323"/>
      <c r="CU312" s="323"/>
      <c r="CV312" s="323"/>
      <c r="CW312" s="323"/>
      <c r="CX312" s="323"/>
      <c r="CY312" s="323"/>
      <c r="CZ312" s="323"/>
    </row>
    <row r="313" spans="2:222" ht="33.75" hidden="1" customHeight="1" outlineLevel="1" x14ac:dyDescent="0.35">
      <c r="B313" s="194"/>
      <c r="C313" s="665">
        <v>0</v>
      </c>
      <c r="D313" s="920" t="s">
        <v>81</v>
      </c>
      <c r="E313" s="921"/>
      <c r="F313" s="338" t="s">
        <v>120</v>
      </c>
      <c r="G313" s="338" t="s">
        <v>121</v>
      </c>
      <c r="H313" s="346" t="s">
        <v>84</v>
      </c>
      <c r="I313" s="891" t="s">
        <v>81</v>
      </c>
      <c r="J313" s="892"/>
      <c r="K313" s="479" t="s">
        <v>120</v>
      </c>
      <c r="L313" s="479" t="s">
        <v>121</v>
      </c>
      <c r="M313" s="508" t="s">
        <v>84</v>
      </c>
      <c r="N313" s="195" t="s">
        <v>4</v>
      </c>
      <c r="O313" s="195" t="s">
        <v>85</v>
      </c>
      <c r="P313" s="195" t="s">
        <v>5</v>
      </c>
      <c r="Q313" s="195" t="s">
        <v>86</v>
      </c>
      <c r="R313" s="192"/>
      <c r="S313" s="196"/>
      <c r="U313" s="251"/>
      <c r="V313" s="251"/>
      <c r="W313" s="323" t="s">
        <v>87</v>
      </c>
      <c r="X313" s="323" t="s">
        <v>88</v>
      </c>
      <c r="Y313" s="323" t="s">
        <v>89</v>
      </c>
      <c r="Z313" s="323" t="s">
        <v>90</v>
      </c>
      <c r="AA313" s="323" t="s">
        <v>91</v>
      </c>
      <c r="AB313" s="323"/>
      <c r="AC313" s="323"/>
      <c r="AD313" s="323"/>
      <c r="AE313" s="323" t="s">
        <v>92</v>
      </c>
      <c r="AF313" s="323"/>
      <c r="AG313" s="323"/>
      <c r="AH313" s="323"/>
      <c r="AI313" s="323"/>
      <c r="AJ313" s="323"/>
      <c r="AK313" s="323"/>
      <c r="AL313" s="323"/>
      <c r="AM313" s="323"/>
      <c r="AN313" s="323">
        <f>SUM(AN315:AN319)</f>
        <v>0</v>
      </c>
      <c r="AO313" s="323">
        <f>SUM(AO315:AO319)</f>
        <v>0</v>
      </c>
      <c r="AP313" s="323"/>
      <c r="AQ313" s="323"/>
      <c r="AR313" s="323">
        <f>SUM(AR315:AR318)</f>
        <v>0</v>
      </c>
      <c r="AS313" s="323">
        <f>SUM(AS315:AS318)</f>
        <v>0</v>
      </c>
      <c r="AT313" s="323"/>
      <c r="AU313" s="323"/>
      <c r="AV313" s="323" t="str">
        <f>IFERROR(IF(M313-1&gt;0,VLOOKUP(L311&amp;"_"&amp;L313,'LCA data'!$B$7:$X$200,19,FALSE)*C313,""),"")</f>
        <v/>
      </c>
      <c r="AW313" s="323" t="str">
        <f>IFERROR(AU313+VLOOKUP(L311&amp;"_"&amp;L313,'LCA data'!$B$7:$X$238,2,FALSE),"")</f>
        <v/>
      </c>
      <c r="AX313" s="323" t="str">
        <f>IFERROR(IF(M313-2&gt;0,VLOOKUP(L311&amp;"_"&amp;L313,'LCA data'!$B$7:$X$200,19,FALSE)*C313,""),"")</f>
        <v/>
      </c>
      <c r="AY313" s="323"/>
      <c r="AZ313" s="323"/>
      <c r="BA313" s="323"/>
      <c r="BB313" s="323"/>
      <c r="BC313" s="323"/>
      <c r="BD313" s="323"/>
      <c r="BE313" s="323"/>
      <c r="BF313" s="323"/>
      <c r="BG313" s="323"/>
      <c r="BH313" s="323"/>
      <c r="BI313" s="323"/>
      <c r="BJ313" s="323"/>
      <c r="BK313" s="323"/>
      <c r="BL313" s="323"/>
      <c r="BM313" s="323"/>
      <c r="BN313" s="323"/>
      <c r="BO313" s="323"/>
      <c r="BP313" s="323"/>
      <c r="BQ313" s="323"/>
      <c r="BR313" s="323"/>
      <c r="BS313" s="323"/>
      <c r="BT313" s="323"/>
      <c r="BU313" s="323"/>
      <c r="BV313" s="323"/>
      <c r="BW313" s="323"/>
      <c r="BX313" s="323"/>
      <c r="BY313" s="323"/>
      <c r="BZ313" s="323"/>
      <c r="CA313" s="323"/>
      <c r="CB313" s="323"/>
      <c r="CC313" s="323"/>
      <c r="CD313" s="323"/>
      <c r="CE313" s="323"/>
      <c r="CF313" s="323"/>
      <c r="CG313" s="323"/>
      <c r="CH313" s="323"/>
      <c r="CI313" s="323"/>
      <c r="CJ313" s="323"/>
      <c r="CK313" s="323"/>
      <c r="CL313" s="323"/>
      <c r="CM313" s="323"/>
      <c r="CN313" s="323"/>
      <c r="CO313" s="323"/>
      <c r="CP313" s="431"/>
      <c r="CQ313" s="433"/>
      <c r="CR313" s="323"/>
      <c r="CS313" s="323"/>
      <c r="CT313" s="323"/>
      <c r="CU313" s="323"/>
      <c r="CV313" s="323"/>
      <c r="CW313" s="323"/>
      <c r="CX313" s="323"/>
      <c r="CY313" s="323"/>
      <c r="CZ313" s="323"/>
    </row>
    <row r="314" spans="2:222" s="198" customFormat="1" ht="27.65" hidden="1" customHeight="1" outlineLevel="1" x14ac:dyDescent="0.35">
      <c r="B314" s="199"/>
      <c r="C314" s="200" t="s">
        <v>93</v>
      </c>
      <c r="D314" s="348"/>
      <c r="E314" s="348"/>
      <c r="F314" s="347" t="s">
        <v>122</v>
      </c>
      <c r="G314" s="348" t="s">
        <v>95</v>
      </c>
      <c r="H314" s="349" t="s">
        <v>96</v>
      </c>
      <c r="I314" s="511"/>
      <c r="J314" s="511"/>
      <c r="K314" s="510" t="s">
        <v>122</v>
      </c>
      <c r="L314" s="511" t="s">
        <v>95</v>
      </c>
      <c r="M314" s="512" t="s">
        <v>96</v>
      </c>
      <c r="N314" s="201" t="s">
        <v>97</v>
      </c>
      <c r="O314" s="201" t="s">
        <v>97</v>
      </c>
      <c r="P314" s="201" t="s">
        <v>97</v>
      </c>
      <c r="Q314" s="201" t="s">
        <v>97</v>
      </c>
      <c r="R314" s="202"/>
      <c r="S314" s="203"/>
      <c r="T314" s="204"/>
      <c r="U314" s="325"/>
      <c r="V314" s="325"/>
      <c r="W314" s="323">
        <f>SUM(W315:W320)</f>
        <v>0</v>
      </c>
      <c r="X314" s="323">
        <f>SUM(X315:X320)</f>
        <v>0</v>
      </c>
      <c r="Y314" s="323"/>
      <c r="Z314" s="323"/>
      <c r="AA314" s="323"/>
      <c r="AB314" s="323" t="s">
        <v>111</v>
      </c>
      <c r="AC314" s="323" t="s">
        <v>98</v>
      </c>
      <c r="AD314" s="323" t="s">
        <v>99</v>
      </c>
      <c r="AE314" s="323" t="s">
        <v>100</v>
      </c>
      <c r="AF314" s="323"/>
      <c r="AG314" s="323"/>
      <c r="AH314" s="323"/>
      <c r="AI314" s="323"/>
      <c r="AJ314" s="323"/>
      <c r="AK314" s="323"/>
      <c r="AL314" s="323"/>
      <c r="AM314" s="323"/>
      <c r="AN314" s="323"/>
      <c r="AO314" s="323"/>
      <c r="AP314" s="323"/>
      <c r="AQ314" s="323"/>
      <c r="AR314" s="323"/>
      <c r="AS314" s="323"/>
      <c r="AT314" s="323"/>
      <c r="AU314" s="323"/>
      <c r="AV314" s="323" t="str">
        <f>IFERROR(IF(M314-1&gt;0,VLOOKUP(L312&amp;"_"&amp;L314,'LCA data'!$B$7:$X$200,19,FALSE)*C314,""),"")</f>
        <v/>
      </c>
      <c r="AW314" s="323" t="str">
        <f>IFERROR(AU314+VLOOKUP(L312&amp;"_"&amp;L314,'LCA data'!$B$7:$X$238,2,FALSE),"")</f>
        <v/>
      </c>
      <c r="AX314" s="323" t="str">
        <f>IFERROR(IF(M314-2&gt;0,VLOOKUP(L312&amp;"_"&amp;L314,'LCA data'!$B$7:$X$200,19,FALSE)*C314,""),"")</f>
        <v/>
      </c>
      <c r="AY314" s="323"/>
      <c r="AZ314" s="323"/>
      <c r="BA314" s="323"/>
      <c r="BB314" s="323"/>
      <c r="BC314" s="323"/>
      <c r="BD314" s="323"/>
      <c r="BE314" s="323"/>
      <c r="BF314" s="323"/>
      <c r="BG314" s="323"/>
      <c r="BH314" s="323"/>
      <c r="BI314" s="323"/>
      <c r="BJ314" s="323"/>
      <c r="BK314" s="323"/>
      <c r="BL314" s="323"/>
      <c r="BM314" s="323"/>
      <c r="BN314" s="323"/>
      <c r="BO314" s="323"/>
      <c r="BP314" s="323"/>
      <c r="BQ314" s="323"/>
      <c r="BR314" s="323"/>
      <c r="BS314" s="323"/>
      <c r="BT314" s="323"/>
      <c r="BU314" s="323"/>
      <c r="BV314" s="323"/>
      <c r="BW314" s="323"/>
      <c r="BX314" s="323"/>
      <c r="BY314" s="323"/>
      <c r="BZ314" s="323"/>
      <c r="CA314" s="323"/>
      <c r="CB314" s="323"/>
      <c r="CC314" s="323"/>
      <c r="CD314" s="323"/>
      <c r="CE314" s="323"/>
      <c r="CF314" s="323"/>
      <c r="CG314" s="323"/>
      <c r="CH314" s="323"/>
      <c r="CI314" s="323"/>
      <c r="CJ314" s="323"/>
      <c r="CK314" s="323"/>
      <c r="CL314" s="323"/>
      <c r="CM314" s="323"/>
      <c r="CN314" s="323"/>
      <c r="CO314" s="323"/>
      <c r="CP314" s="431"/>
      <c r="CQ314" s="433"/>
      <c r="CR314" s="323"/>
      <c r="CS314" s="323"/>
      <c r="CT314" s="323"/>
      <c r="CU314" s="323"/>
      <c r="CV314" s="323"/>
      <c r="CW314" s="323"/>
      <c r="CX314" s="323"/>
      <c r="CY314" s="323"/>
      <c r="CZ314" s="323"/>
      <c r="DA314" s="325"/>
      <c r="DB314" s="325"/>
      <c r="DC314" s="325"/>
      <c r="DD314" s="325"/>
      <c r="DE314" s="325"/>
      <c r="DF314" s="325"/>
      <c r="DG314" s="325"/>
      <c r="DH314" s="325"/>
      <c r="DI314" s="325"/>
      <c r="DJ314" s="325"/>
      <c r="DK314" s="325"/>
      <c r="DL314" s="325"/>
      <c r="DM314" s="325"/>
      <c r="DN314" s="325"/>
      <c r="DO314" s="325"/>
      <c r="DP314" s="325"/>
      <c r="DQ314" s="325"/>
      <c r="DR314" s="325"/>
      <c r="DS314" s="325"/>
      <c r="DT314" s="325"/>
      <c r="DU314" s="325"/>
      <c r="DV314" s="325"/>
      <c r="DW314" s="325"/>
      <c r="DX314" s="325"/>
      <c r="DY314" s="325"/>
      <c r="DZ314" s="325"/>
      <c r="EA314" s="325"/>
      <c r="EB314" s="325"/>
      <c r="EC314" s="325"/>
      <c r="ED314" s="325"/>
      <c r="EE314" s="325"/>
      <c r="EF314" s="325"/>
      <c r="EG314" s="325"/>
      <c r="EH314" s="325"/>
      <c r="EI314" s="325"/>
      <c r="EJ314" s="325"/>
      <c r="EK314" s="325"/>
      <c r="EL314" s="325"/>
      <c r="EM314" s="325"/>
      <c r="EN314" s="325"/>
      <c r="EO314" s="325"/>
      <c r="EP314" s="325"/>
      <c r="EQ314" s="325"/>
      <c r="ER314" s="325"/>
      <c r="ES314" s="325"/>
      <c r="ET314" s="325"/>
      <c r="EU314" s="325"/>
      <c r="EV314" s="325"/>
      <c r="EW314" s="325"/>
      <c r="EX314" s="325"/>
      <c r="EY314" s="325"/>
      <c r="EZ314" s="325"/>
      <c r="FA314" s="325"/>
      <c r="FB314" s="325"/>
      <c r="FC314" s="325"/>
      <c r="FD314" s="325"/>
      <c r="FE314" s="325"/>
      <c r="FF314" s="325"/>
      <c r="FG314" s="325"/>
      <c r="FH314" s="325"/>
      <c r="FI314" s="325"/>
      <c r="FJ314" s="325"/>
      <c r="FK314" s="325"/>
      <c r="FL314" s="325"/>
      <c r="FM314" s="325"/>
      <c r="FN314" s="325"/>
      <c r="FO314" s="325"/>
      <c r="FP314" s="325"/>
      <c r="FQ314" s="325"/>
      <c r="FR314" s="325"/>
      <c r="FS314" s="325"/>
      <c r="FT314" s="325"/>
      <c r="FU314" s="325"/>
      <c r="FV314" s="325"/>
      <c r="FW314" s="325"/>
      <c r="FX314" s="325"/>
      <c r="FY314" s="325"/>
      <c r="FZ314" s="325"/>
      <c r="GA314" s="325"/>
      <c r="GB314" s="325"/>
      <c r="GC314" s="325"/>
      <c r="GD314" s="325"/>
      <c r="GE314" s="325"/>
      <c r="GF314" s="325"/>
      <c r="GG314" s="325"/>
      <c r="GH314" s="325"/>
      <c r="GI314" s="325"/>
      <c r="GJ314" s="325"/>
      <c r="GK314" s="325"/>
      <c r="GL314" s="325"/>
      <c r="GM314" s="325"/>
      <c r="GN314" s="325"/>
      <c r="GO314" s="325"/>
      <c r="GP314" s="325"/>
      <c r="GQ314" s="325"/>
      <c r="GR314" s="325"/>
      <c r="GS314" s="325"/>
      <c r="GT314" s="325"/>
      <c r="GU314" s="325"/>
      <c r="GV314" s="325"/>
      <c r="GW314" s="325"/>
      <c r="GX314" s="325"/>
      <c r="GY314" s="325"/>
      <c r="GZ314" s="325"/>
      <c r="HA314" s="325"/>
      <c r="HB314" s="325"/>
      <c r="HC314" s="325"/>
      <c r="HD314" s="325"/>
      <c r="HE314" s="325"/>
      <c r="HF314" s="325"/>
      <c r="HG314" s="325"/>
      <c r="HH314" s="325"/>
      <c r="HI314" s="325"/>
      <c r="HJ314" s="325"/>
      <c r="HK314" s="325"/>
      <c r="HL314" s="325"/>
      <c r="HM314" s="325"/>
      <c r="HN314" s="325"/>
    </row>
    <row r="315" spans="2:222" ht="48" hidden="1" customHeight="1" outlineLevel="1" x14ac:dyDescent="0.35">
      <c r="B315" s="363" t="str">
        <f>'LCA data'!$B$167</f>
        <v>Vinduer</v>
      </c>
      <c r="C315" s="465">
        <f>$C$47*C313</f>
        <v>0</v>
      </c>
      <c r="D315" s="918" t="s">
        <v>103</v>
      </c>
      <c r="E315" s="919"/>
      <c r="F315" s="388"/>
      <c r="G315" s="16" t="s">
        <v>103</v>
      </c>
      <c r="H315" s="351">
        <f>IFERROR(IF(VLOOKUP(B315&amp;"_"&amp;D315,'LCA data'!$B$7:$X$200,2,FALSE)&lt;$Y$24,1,0)+IF(VLOOKUP(B315&amp;"_"&amp;D315,'LCA data'!$B$7:$X$200,2,FALSE)*2&lt;$Y$24,1,0),"")</f>
        <v>0</v>
      </c>
      <c r="I315" s="918" t="s">
        <v>103</v>
      </c>
      <c r="J315" s="919"/>
      <c r="K315" s="523"/>
      <c r="L315" s="16" t="s">
        <v>103</v>
      </c>
      <c r="M315" s="515">
        <f>IFERROR(IF(VLOOKUP(B315&amp;"_"&amp;I315,'LCA data'!$B$7:$X$200,2,FALSE)&lt;$Y$24,1,0)+IF(VLOOKUP(B315&amp;"_"&amp;I315,'LCA data'!$B$7:$X$200,2,FALSE)*2&lt;$Y$24,1,0),"")</f>
        <v>0</v>
      </c>
      <c r="N315" s="364">
        <f>W315/1000</f>
        <v>0</v>
      </c>
      <c r="O315" s="531">
        <f>N315</f>
        <v>0</v>
      </c>
      <c r="P315" s="365">
        <f>X315/1000</f>
        <v>0</v>
      </c>
      <c r="Q315" s="530">
        <f>P315</f>
        <v>0</v>
      </c>
      <c r="R315" s="192"/>
      <c r="S315" s="196"/>
      <c r="U315" s="251"/>
      <c r="V315" s="251"/>
      <c r="W315" s="323">
        <f>IF(D315="Angiv ikke",0,((1+H315)*VLOOKUP(B315&amp;"_"&amp;D315,'LCA data'!$B$7:$X$360,19,FALSE)*C315))+IF(G315="Angiv ikke",0,VLOOKUP(G313&amp;"_"&amp;G315,'LCA data'!$B$7:$X$360,19,FALSE))*C315</f>
        <v>0</v>
      </c>
      <c r="X315" s="323">
        <f>IF(I315="Angiv ikke",0,((1+M315)*VLOOKUP(B315&amp;"_"&amp;I315,'LCA data'!$B$7:$X$360,19,FALSE)*C315))+IF(L315="Angiv ikke",0,VLOOKUP(L313&amp;"_"&amp;L315,'LCA data'!$B$7:$X$360,19,FALSE))*C315</f>
        <v>0</v>
      </c>
      <c r="Y315" s="323">
        <f>AC315*$J$21*$Y$24</f>
        <v>0</v>
      </c>
      <c r="Z315" s="323">
        <f>AC316*$J$21*$Y$24</f>
        <v>0</v>
      </c>
      <c r="AA315" s="323" t="s">
        <v>4</v>
      </c>
      <c r="AB315" s="323">
        <f>AF315/$J$21/$Y$24*1000</f>
        <v>0</v>
      </c>
      <c r="AC315" s="323">
        <f>Varmetab!H85</f>
        <v>0</v>
      </c>
      <c r="AD315" s="323">
        <f>AB315+AC315</f>
        <v>0</v>
      </c>
      <c r="AE315" s="323" t="s">
        <v>4</v>
      </c>
      <c r="AF315" s="323">
        <f>W314/1000</f>
        <v>0</v>
      </c>
      <c r="AG315" s="323"/>
      <c r="AH315" s="323"/>
      <c r="AI315" s="323"/>
      <c r="AJ315" s="323"/>
      <c r="AK315" s="323"/>
      <c r="AL315" s="323"/>
      <c r="AM315" s="323"/>
      <c r="AN315" s="323">
        <f>IF(G315="Angiv ikke",0,(C315*(VLOOKUP(G313&amp;"_"&amp;G315,'LCA data'!$B$7:$AA$360,9,FALSE))))</f>
        <v>0</v>
      </c>
      <c r="AO315" s="323">
        <f>IF(L315="Angiv ikke",0,(C315*(VLOOKUP(L313&amp;"_"&amp;L315,'LCA data'!$B$7:$AA$360,9,FALSE))))</f>
        <v>0</v>
      </c>
      <c r="AP315" s="323"/>
      <c r="AQ315" s="323"/>
      <c r="AR315" s="323">
        <f>IF(G315="Angiv ikke",0,(C315*(VLOOKUP(G313&amp;"_"&amp;G315,'LCA data'!$B$7:$AA$360,24,FALSE))))</f>
        <v>0</v>
      </c>
      <c r="AS315" s="323">
        <f>IF(L315="Angiv ikke",0,(C315*(VLOOKUP(L313&amp;"_"&amp;L315,'LCA data'!$B$7:$AA$360,24,FALSE))))</f>
        <v>0</v>
      </c>
      <c r="AT315" s="323"/>
      <c r="AU315" s="323"/>
      <c r="AV315" s="323" t="str">
        <f>IFERROR(IF(M315-1&gt;0,VLOOKUP(L313&amp;"_"&amp;L315,'LCA data'!$B$7:$X$200,19,FALSE)*C315,""),"")</f>
        <v/>
      </c>
      <c r="AW315" s="323" t="str">
        <f>IFERROR(AU315+VLOOKUP(L313&amp;"_"&amp;L315,'LCA data'!$B$7:$X$238,2,FALSE),"")</f>
        <v/>
      </c>
      <c r="AX315" s="323" t="str">
        <f>IFERROR(IF(M315-2&gt;0,VLOOKUP(L313&amp;"_"&amp;L315,'LCA data'!$B$7:$X$200,19,FALSE)*C315,""),"")</f>
        <v/>
      </c>
      <c r="AY315" s="323"/>
      <c r="AZ315" s="323"/>
      <c r="BA315" s="323"/>
      <c r="BB315" s="323"/>
      <c r="BC315" s="323"/>
      <c r="BD315" s="323"/>
      <c r="BE315" s="323"/>
      <c r="BF315" s="323"/>
      <c r="BG315" s="323"/>
      <c r="BH315" s="323"/>
      <c r="BI315" s="323"/>
      <c r="BJ315" s="323"/>
      <c r="BK315" s="323"/>
      <c r="BL315" s="323"/>
      <c r="BM315" s="323"/>
      <c r="BN315" s="323"/>
      <c r="BO315" s="323"/>
      <c r="BP315" s="323"/>
      <c r="BQ315" s="323"/>
      <c r="BR315" s="323"/>
      <c r="BS315" s="323"/>
      <c r="BT315" s="323"/>
      <c r="BU315" s="323"/>
      <c r="BV315" s="323"/>
      <c r="BW315" s="323"/>
      <c r="BX315" s="323"/>
      <c r="BY315" s="323"/>
      <c r="BZ315" s="323"/>
      <c r="CA315" s="323"/>
      <c r="CB315" s="323"/>
      <c r="CC315" s="323"/>
      <c r="CD315" s="323"/>
      <c r="CE315" s="323"/>
      <c r="CF315" s="323"/>
      <c r="CG315" s="323"/>
      <c r="CH315" s="323"/>
      <c r="CI315" s="323"/>
      <c r="CJ315" s="323"/>
      <c r="CK315" s="323"/>
      <c r="CL315" s="323"/>
      <c r="CM315" s="323"/>
      <c r="CN315" s="323"/>
      <c r="CO315" s="323"/>
      <c r="CP315" s="435"/>
      <c r="CQ315" s="433"/>
      <c r="CR315" s="323"/>
      <c r="CS315" s="323"/>
      <c r="CT315" s="323"/>
      <c r="CU315" s="323"/>
      <c r="CV315" s="323"/>
      <c r="CW315" s="323"/>
      <c r="CX315" s="323"/>
      <c r="CY315" s="323"/>
      <c r="CZ315" s="323"/>
    </row>
    <row r="316" spans="2:222" ht="48" hidden="1" customHeight="1" outlineLevel="1" thickBot="1" x14ac:dyDescent="0.4">
      <c r="B316" s="389" t="s">
        <v>123</v>
      </c>
      <c r="C316" s="201" t="s">
        <v>124</v>
      </c>
      <c r="D316" s="928" t="str">
        <f>IFERROR(IF(F316&gt;0,F316,VLOOKUP(D315,Dropdown!$T$1:$U$8,2,FALSE)),"")</f>
        <v/>
      </c>
      <c r="E316" s="929"/>
      <c r="F316" s="659"/>
      <c r="G316" s="390"/>
      <c r="H316" s="391"/>
      <c r="I316" s="916" t="str">
        <f>IFERROR(IF(K316&gt;0,K316,VLOOKUP(I315,Dropdown!$T$1:$U$8,2,FALSE)),"")</f>
        <v/>
      </c>
      <c r="J316" s="917"/>
      <c r="K316" s="657"/>
      <c r="L316" s="525"/>
      <c r="M316" s="526"/>
      <c r="N316" s="392"/>
      <c r="O316" s="392"/>
      <c r="P316" s="393"/>
      <c r="Q316" s="394"/>
      <c r="R316" s="192"/>
      <c r="S316" s="196"/>
      <c r="U316" s="251"/>
      <c r="V316" s="251"/>
      <c r="W316" s="323"/>
      <c r="X316" s="323"/>
      <c r="Y316" s="323"/>
      <c r="Z316" s="323"/>
      <c r="AA316" s="323" t="s">
        <v>5</v>
      </c>
      <c r="AB316" s="323">
        <f>AG316/$J$21/$Y$24*1000</f>
        <v>0</v>
      </c>
      <c r="AC316" s="323">
        <f>Varmetab!I85</f>
        <v>0</v>
      </c>
      <c r="AD316" s="323">
        <f>AB316+AC316</f>
        <v>0</v>
      </c>
      <c r="AE316" s="323" t="s">
        <v>5</v>
      </c>
      <c r="AF316" s="323"/>
      <c r="AG316" s="323">
        <f>X314/1000</f>
        <v>0</v>
      </c>
      <c r="AH316" s="323"/>
      <c r="AI316" s="323"/>
      <c r="AJ316" s="323"/>
      <c r="AK316" s="323"/>
      <c r="AL316" s="323"/>
      <c r="AM316" s="323"/>
      <c r="AN316" s="323">
        <f>IF(D315="Angiv ikke",0,(C315*(VLOOKUP(B315&amp;"_"&amp;D315,'LCA data'!$B$7:$AA$360,9,FALSE))))</f>
        <v>0</v>
      </c>
      <c r="AO316" s="323">
        <f>IF(I315="Angiv ikke",0,(C315*(VLOOKUP(B315&amp;"_"&amp;I315,'LCA data'!$B$7:$AA$360,9,FALSE))))</f>
        <v>0</v>
      </c>
      <c r="AP316" s="323"/>
      <c r="AQ316" s="323"/>
      <c r="AR316" s="323"/>
      <c r="AS316" s="323"/>
      <c r="AT316" s="323"/>
      <c r="AU316" s="323"/>
      <c r="AV316" s="323" t="str">
        <f>IFERROR(IF(M316-1&gt;0,VLOOKUP(L314&amp;"_"&amp;L316,'LCA data'!$B$7:$X$200,19,FALSE)*C316,""),"")</f>
        <v/>
      </c>
      <c r="AW316" s="323" t="str">
        <f>IFERROR(AU316+VLOOKUP(L314&amp;"_"&amp;L316,'LCA data'!$B$7:$X$238,2,FALSE),"")</f>
        <v/>
      </c>
      <c r="AX316" s="323" t="str">
        <f>IFERROR(IF(M316-2&gt;0,VLOOKUP(L314&amp;"_"&amp;L316,'LCA data'!$B$7:$X$200,19,FALSE)*C316,""),"")</f>
        <v/>
      </c>
      <c r="AY316" s="323"/>
      <c r="AZ316" s="323"/>
      <c r="BA316" s="323"/>
      <c r="BB316" s="323"/>
      <c r="BC316" s="323"/>
      <c r="BD316" s="323"/>
      <c r="BE316" s="323"/>
      <c r="BF316" s="323"/>
      <c r="BG316" s="323"/>
      <c r="BH316" s="323"/>
      <c r="BI316" s="323"/>
      <c r="BJ316" s="323"/>
      <c r="BK316" s="323"/>
      <c r="BL316" s="323"/>
      <c r="BM316" s="323"/>
      <c r="BN316" s="323"/>
      <c r="BO316" s="323"/>
      <c r="BP316" s="323"/>
      <c r="BQ316" s="323"/>
      <c r="BR316" s="323"/>
      <c r="BS316" s="323"/>
      <c r="BT316" s="323"/>
      <c r="BU316" s="323"/>
      <c r="BV316" s="323"/>
      <c r="BW316" s="323"/>
      <c r="BX316" s="323"/>
      <c r="BY316" s="323"/>
      <c r="BZ316" s="323"/>
      <c r="CA316" s="323"/>
      <c r="CB316" s="323"/>
      <c r="CC316" s="323"/>
      <c r="CD316" s="323"/>
      <c r="CE316" s="323"/>
      <c r="CF316" s="323"/>
      <c r="CG316" s="323"/>
      <c r="CH316" s="323"/>
      <c r="CI316" s="323"/>
      <c r="CJ316" s="323"/>
      <c r="CK316" s="323"/>
      <c r="CL316" s="323"/>
      <c r="CM316" s="323"/>
      <c r="CN316" s="323"/>
      <c r="CO316" s="323"/>
      <c r="CP316" s="443"/>
      <c r="CQ316" s="438"/>
      <c r="CR316" s="323"/>
      <c r="CS316" s="323"/>
      <c r="CT316" s="323"/>
      <c r="CU316" s="323"/>
      <c r="CV316" s="323"/>
      <c r="CW316" s="323"/>
      <c r="CX316" s="323"/>
      <c r="CY316" s="323"/>
      <c r="CZ316" s="323"/>
    </row>
    <row r="317" spans="2:222" ht="16.5" hidden="1" customHeight="1" outlineLevel="1" thickBot="1" x14ac:dyDescent="0.4">
      <c r="B317" s="395" t="s">
        <v>125</v>
      </c>
      <c r="C317" s="396"/>
      <c r="D317" s="396"/>
      <c r="E317" s="396"/>
      <c r="F317" s="396"/>
      <c r="G317" s="396"/>
      <c r="H317" s="396"/>
      <c r="I317" s="396"/>
      <c r="J317" s="396"/>
      <c r="K317" s="396"/>
      <c r="L317" s="396"/>
      <c r="M317" s="396"/>
      <c r="N317" s="397"/>
      <c r="O317" s="396"/>
      <c r="P317" s="398"/>
      <c r="Q317" s="396"/>
      <c r="R317" s="192"/>
      <c r="S317" s="196"/>
      <c r="U317" s="251"/>
      <c r="V317" s="251"/>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c r="AU317" s="323"/>
      <c r="AV317" s="323" t="str">
        <f>IFERROR(IF(M317-1&gt;0,VLOOKUP(L315&amp;"_"&amp;L317,'LCA data'!$B$7:$X$200,19,FALSE)*C317,""),"")</f>
        <v/>
      </c>
      <c r="AW317" s="323" t="str">
        <f>IFERROR(AU317+VLOOKUP(L315&amp;"_"&amp;L317,'LCA data'!$B$7:$X$238,2,FALSE),"")</f>
        <v/>
      </c>
      <c r="AX317" s="323" t="str">
        <f>IFERROR(IF(M317-2&gt;0,VLOOKUP(L315&amp;"_"&amp;L317,'LCA data'!$B$7:$X$200,19,FALSE)*C317,""),"")</f>
        <v/>
      </c>
      <c r="AY317" s="323"/>
      <c r="AZ317" s="323"/>
      <c r="BA317" s="323"/>
      <c r="BB317" s="323"/>
      <c r="BC317" s="323"/>
      <c r="BD317" s="323"/>
      <c r="BE317" s="323"/>
      <c r="BF317" s="323"/>
      <c r="BG317" s="323"/>
      <c r="BH317" s="323"/>
      <c r="BI317" s="323"/>
      <c r="BJ317" s="323"/>
      <c r="BK317" s="323"/>
      <c r="BL317" s="323"/>
      <c r="BM317" s="323"/>
      <c r="BN317" s="323"/>
      <c r="BO317" s="323"/>
      <c r="BP317" s="323"/>
      <c r="BQ317" s="323"/>
      <c r="BR317" s="323"/>
      <c r="BS317" s="323"/>
      <c r="BT317" s="323"/>
      <c r="BU317" s="323"/>
      <c r="BV317" s="323"/>
      <c r="BW317" s="323"/>
      <c r="BX317" s="323"/>
      <c r="BY317" s="323"/>
      <c r="BZ317" s="323"/>
      <c r="CA317" s="323"/>
      <c r="CB317" s="323"/>
      <c r="CC317" s="323"/>
      <c r="CD317" s="323"/>
      <c r="CE317" s="323"/>
      <c r="CF317" s="323"/>
      <c r="CG317" s="323"/>
      <c r="CH317" s="323"/>
      <c r="CI317" s="323"/>
      <c r="CJ317" s="323"/>
      <c r="CK317" s="323"/>
      <c r="CL317" s="323"/>
      <c r="CM317" s="323"/>
      <c r="CN317" s="323"/>
      <c r="CO317" s="323"/>
      <c r="CP317" s="444"/>
      <c r="CQ317" s="428"/>
      <c r="CR317" s="323"/>
      <c r="CS317" s="323"/>
      <c r="CT317" s="323"/>
      <c r="CU317" s="323"/>
      <c r="CV317" s="323"/>
      <c r="CW317" s="323"/>
      <c r="CX317" s="323"/>
      <c r="CY317" s="323"/>
      <c r="CZ317" s="323"/>
    </row>
    <row r="318" spans="2:222" ht="13.5" hidden="1" customHeight="1" outlineLevel="1" thickBot="1" x14ac:dyDescent="0.4">
      <c r="B318" s="399"/>
      <c r="C318" s="400"/>
      <c r="D318" s="400"/>
      <c r="E318" s="400"/>
      <c r="F318" s="400"/>
      <c r="G318" s="400"/>
      <c r="H318" s="400"/>
      <c r="I318" s="400"/>
      <c r="J318" s="400"/>
      <c r="K318" s="400"/>
      <c r="L318" s="400"/>
      <c r="M318" s="400"/>
      <c r="N318" s="401"/>
      <c r="O318" s="400"/>
      <c r="P318" s="402"/>
      <c r="Q318" s="400"/>
      <c r="R318" s="212"/>
      <c r="S318" s="213"/>
      <c r="U318" s="251"/>
      <c r="V318" s="251"/>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c r="BM318" s="323"/>
      <c r="BN318" s="323"/>
      <c r="BO318" s="323"/>
      <c r="BP318" s="323"/>
      <c r="BQ318" s="323"/>
      <c r="BR318" s="323"/>
      <c r="BS318" s="323"/>
      <c r="BT318" s="323"/>
      <c r="BU318" s="323"/>
      <c r="BV318" s="323"/>
      <c r="BW318" s="323"/>
      <c r="BX318" s="323"/>
      <c r="BY318" s="323"/>
      <c r="BZ318" s="323"/>
      <c r="CA318" s="323"/>
      <c r="CB318" s="323"/>
      <c r="CC318" s="323"/>
      <c r="CD318" s="323"/>
      <c r="CE318" s="323"/>
      <c r="CF318" s="323"/>
      <c r="CG318" s="323"/>
      <c r="CH318" s="323"/>
      <c r="CI318" s="323"/>
      <c r="CJ318" s="323"/>
      <c r="CK318" s="323"/>
      <c r="CL318" s="323"/>
      <c r="CM318" s="323"/>
      <c r="CN318" s="323"/>
      <c r="CO318" s="323"/>
      <c r="CP318" s="1144" t="s">
        <v>77</v>
      </c>
      <c r="CQ318" s="1145"/>
      <c r="CR318" s="323"/>
      <c r="CS318" s="323"/>
      <c r="CT318" s="323"/>
      <c r="CU318" s="323"/>
      <c r="CV318" s="323"/>
      <c r="CW318" s="323"/>
      <c r="CX318" s="323"/>
      <c r="CY318" s="323"/>
      <c r="CZ318" s="323"/>
    </row>
    <row r="319" spans="2:222" ht="18.75" customHeight="1" collapsed="1" x14ac:dyDescent="0.35">
      <c r="B319" s="556"/>
      <c r="C319" s="557"/>
      <c r="D319" s="542"/>
      <c r="E319" s="557"/>
      <c r="F319" s="557"/>
      <c r="G319" s="557"/>
      <c r="H319" s="557"/>
      <c r="I319" s="542"/>
      <c r="J319" s="557"/>
      <c r="K319" s="557"/>
      <c r="L319" s="557"/>
      <c r="M319" s="557"/>
      <c r="N319" s="404"/>
      <c r="O319" s="404"/>
      <c r="P319" s="404"/>
      <c r="Q319" s="405"/>
      <c r="R319" s="217"/>
      <c r="U319" s="251"/>
      <c r="V319" s="251"/>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c r="AU319" s="323"/>
      <c r="AV319" s="323" t="str">
        <f>IFERROR(IF(M319-1&gt;0,VLOOKUP(L316&amp;"_"&amp;L319,'LCA data'!$B$7:$X$200,19,FALSE)*C319,""),"")</f>
        <v/>
      </c>
      <c r="AW319" s="323" t="str">
        <f>IFERROR(AU319+VLOOKUP(L316&amp;"_"&amp;L319,'LCA data'!$B$7:$X$238,2,FALSE),"")</f>
        <v/>
      </c>
      <c r="AX319" s="323" t="str">
        <f>IFERROR(IF(M319-2&gt;0,VLOOKUP(L316&amp;"_"&amp;L319,'LCA data'!$B$7:$X$200,19,FALSE)*C319,""),"")</f>
        <v/>
      </c>
      <c r="AY319" s="323"/>
      <c r="AZ319" s="323"/>
      <c r="BA319" s="323"/>
      <c r="BB319" s="323"/>
      <c r="BC319" s="323"/>
      <c r="BD319" s="323"/>
      <c r="BE319" s="323"/>
      <c r="BF319" s="323"/>
      <c r="BG319" s="323"/>
      <c r="BH319" s="323"/>
      <c r="BI319" s="323"/>
      <c r="BJ319" s="323"/>
      <c r="BK319" s="323"/>
      <c r="BL319" s="323"/>
      <c r="BM319" s="323"/>
      <c r="BN319" s="323"/>
      <c r="BO319" s="323"/>
      <c r="BP319" s="323"/>
      <c r="BQ319" s="323"/>
      <c r="BR319" s="323"/>
      <c r="BS319" s="323"/>
      <c r="BT319" s="323"/>
      <c r="BU319" s="323"/>
      <c r="BV319" s="323"/>
      <c r="BW319" s="323"/>
      <c r="BX319" s="323"/>
      <c r="BY319" s="323"/>
      <c r="BZ319" s="323"/>
      <c r="CA319" s="323"/>
      <c r="CB319" s="323"/>
      <c r="CC319" s="323"/>
      <c r="CD319" s="323"/>
      <c r="CE319" s="323"/>
      <c r="CF319" s="323"/>
      <c r="CG319" s="323"/>
      <c r="CH319" s="323"/>
      <c r="CI319" s="323"/>
      <c r="CJ319" s="323"/>
      <c r="CK319" s="323"/>
      <c r="CL319" s="323"/>
      <c r="CM319" s="323"/>
      <c r="CN319" s="323"/>
      <c r="CO319" s="323"/>
      <c r="CP319" s="431"/>
      <c r="CQ319" s="432"/>
      <c r="CR319" s="323"/>
      <c r="CS319" s="323"/>
      <c r="CT319" s="323"/>
      <c r="CU319" s="323"/>
      <c r="CV319" s="323"/>
      <c r="CW319" s="323"/>
      <c r="CX319" s="323"/>
      <c r="CY319" s="323"/>
      <c r="CZ319" s="323"/>
    </row>
    <row r="320" spans="2:222" ht="35.25" hidden="1" customHeight="1" outlineLevel="1" x14ac:dyDescent="0.35">
      <c r="B320" s="493" t="s">
        <v>112</v>
      </c>
      <c r="C320" s="506"/>
      <c r="D320" s="506"/>
      <c r="E320" s="506" t="s">
        <v>37</v>
      </c>
      <c r="F320" s="499"/>
      <c r="G320" s="499"/>
      <c r="H320" s="499"/>
      <c r="I320" s="500" t="str">
        <f>"Vinduestype"&amp;" "&amp;5</f>
        <v>Vinduestype 5</v>
      </c>
      <c r="J320" s="500"/>
      <c r="K320" s="499"/>
      <c r="L320" s="499"/>
      <c r="M320" s="499"/>
      <c r="N320" s="499"/>
      <c r="O320" s="499"/>
      <c r="P320" s="499"/>
      <c r="Q320" s="501"/>
      <c r="R320" s="190"/>
      <c r="S320" s="191"/>
      <c r="U320" s="251"/>
      <c r="V320" s="251"/>
      <c r="W320" s="323"/>
      <c r="X320" s="323"/>
      <c r="Y320" s="323"/>
      <c r="Z320" s="323"/>
      <c r="AA320" s="323"/>
      <c r="AB320" s="323"/>
      <c r="AC320" s="323"/>
      <c r="AD320" s="323"/>
      <c r="AE320" s="323"/>
      <c r="AF320" s="323"/>
      <c r="AG320" s="323"/>
      <c r="AH320" s="323"/>
      <c r="AI320" s="323"/>
      <c r="AJ320" s="323" t="s">
        <v>746</v>
      </c>
      <c r="AK320" s="323" t="s">
        <v>747</v>
      </c>
      <c r="AL320" s="323"/>
      <c r="AM320" s="323"/>
      <c r="AN320" s="323" t="s">
        <v>846</v>
      </c>
      <c r="AO320" s="323"/>
      <c r="AP320" s="323"/>
      <c r="AQ320" s="323"/>
      <c r="AR320" s="323" t="s">
        <v>851</v>
      </c>
      <c r="AS320" s="323"/>
      <c r="AT320" s="323"/>
      <c r="AU320" s="323"/>
      <c r="AV320" s="323" t="str">
        <f>IFERROR(IF(M320-1&gt;0,VLOOKUP(L317&amp;"_"&amp;L320,'LCA data'!$B$7:$X$200,19,FALSE)*C320,""),"")</f>
        <v/>
      </c>
      <c r="AW320" s="323" t="str">
        <f>IFERROR(AU320+VLOOKUP(L317&amp;"_"&amp;L320,'LCA data'!$B$7:$X$238,2,FALSE),"")</f>
        <v/>
      </c>
      <c r="AX320" s="323" t="str">
        <f>IFERROR(IF(M320-2&gt;0,VLOOKUP(L317&amp;"_"&amp;L320,'LCA data'!$B$7:$X$200,19,FALSE)*C320,""),"")</f>
        <v/>
      </c>
      <c r="AY320" s="323"/>
      <c r="AZ320" s="323"/>
      <c r="BA320" s="323"/>
      <c r="BB320" s="323"/>
      <c r="BC320" s="323"/>
      <c r="BD320" s="323"/>
      <c r="BE320" s="323"/>
      <c r="BF320" s="323"/>
      <c r="BG320" s="323"/>
      <c r="BH320" s="323"/>
      <c r="BI320" s="323"/>
      <c r="BJ320" s="323"/>
      <c r="BK320" s="323"/>
      <c r="BL320" s="323"/>
      <c r="BM320" s="323"/>
      <c r="BN320" s="323"/>
      <c r="BO320" s="323"/>
      <c r="BP320" s="323"/>
      <c r="BQ320" s="323"/>
      <c r="BR320" s="323"/>
      <c r="BS320" s="323"/>
      <c r="BT320" s="323"/>
      <c r="BU320" s="323"/>
      <c r="BV320" s="323"/>
      <c r="BW320" s="323"/>
      <c r="BX320" s="323"/>
      <c r="BY320" s="323"/>
      <c r="BZ320" s="323"/>
      <c r="CA320" s="323"/>
      <c r="CB320" s="323"/>
      <c r="CC320" s="323"/>
      <c r="CD320" s="323"/>
      <c r="CE320" s="323"/>
      <c r="CF320" s="323"/>
      <c r="CG320" s="323"/>
      <c r="CH320" s="323"/>
      <c r="CI320" s="323"/>
      <c r="CJ320" s="323"/>
      <c r="CK320" s="323"/>
      <c r="CL320" s="323"/>
      <c r="CM320" s="323"/>
      <c r="CN320" s="323"/>
      <c r="CO320" s="323"/>
      <c r="CP320" s="431"/>
      <c r="CQ320" s="433"/>
      <c r="CR320" s="323"/>
      <c r="CS320" s="323"/>
      <c r="CT320" s="323"/>
      <c r="CU320" s="323"/>
      <c r="CV320" s="323"/>
      <c r="CW320" s="323"/>
      <c r="CX320" s="323"/>
      <c r="CY320" s="323"/>
      <c r="CZ320" s="323"/>
    </row>
    <row r="321" spans="2:222" ht="40.4" hidden="1" customHeight="1" outlineLevel="1" x14ac:dyDescent="0.35">
      <c r="B321" s="359" t="s">
        <v>78</v>
      </c>
      <c r="C321" s="195" t="s">
        <v>80</v>
      </c>
      <c r="D321" s="910" t="s">
        <v>4</v>
      </c>
      <c r="E321" s="911"/>
      <c r="F321" s="911"/>
      <c r="G321" s="911"/>
      <c r="H321" s="912"/>
      <c r="I321" s="885" t="s">
        <v>5</v>
      </c>
      <c r="J321" s="886"/>
      <c r="K321" s="886"/>
      <c r="L321" s="886"/>
      <c r="M321" s="887"/>
      <c r="N321" s="907" t="s">
        <v>79</v>
      </c>
      <c r="O321" s="877"/>
      <c r="P321" s="877"/>
      <c r="Q321" s="877"/>
      <c r="R321" s="192"/>
      <c r="S321" s="193"/>
      <c r="T321" s="175"/>
      <c r="U321" s="251"/>
      <c r="V321" s="251"/>
      <c r="W321" s="323"/>
      <c r="X321" s="323"/>
      <c r="Y321" s="323"/>
      <c r="Z321" s="323"/>
      <c r="AA321" s="323"/>
      <c r="AB321" s="323"/>
      <c r="AC321" s="323"/>
      <c r="AD321" s="323"/>
      <c r="AE321" s="323"/>
      <c r="AF321" s="323"/>
      <c r="AG321" s="323"/>
      <c r="AH321" s="323"/>
      <c r="AI321" s="323" t="s">
        <v>749</v>
      </c>
      <c r="AJ321" s="323">
        <f>VLOOKUP(D324,Pris.vinduetype[],2,0)*C324</f>
        <v>0</v>
      </c>
      <c r="AK321" s="323">
        <f>VLOOKUP(I324,Pris.vinduetype[],2,0)*C324</f>
        <v>0</v>
      </c>
      <c r="AL321" s="323"/>
      <c r="AM321" s="323"/>
      <c r="AN321" s="323" t="s">
        <v>4</v>
      </c>
      <c r="AO321" s="323" t="s">
        <v>5</v>
      </c>
      <c r="AP321" s="323"/>
      <c r="AQ321" s="323"/>
      <c r="AR321" s="323" t="s">
        <v>4</v>
      </c>
      <c r="AS321" s="323" t="s">
        <v>5</v>
      </c>
      <c r="AT321" s="323"/>
      <c r="AU321" s="323"/>
      <c r="AV321" s="323" t="str">
        <f>IFERROR(IF(M321-1&gt;0,VLOOKUP(L319&amp;"_"&amp;L321,'LCA data'!$B$7:$X$200,19,FALSE)*C321,""),"")</f>
        <v/>
      </c>
      <c r="AW321" s="323" t="str">
        <f>IFERROR(AU321+VLOOKUP(L319&amp;"_"&amp;L321,'LCA data'!$B$7:$X$238,2,FALSE),"")</f>
        <v/>
      </c>
      <c r="AX321" s="323" t="str">
        <f>IFERROR(IF(M321-2&gt;0,VLOOKUP(L319&amp;"_"&amp;L321,'LCA data'!$B$7:$X$200,19,FALSE)*C321,""),"")</f>
        <v/>
      </c>
      <c r="AY321" s="323"/>
      <c r="AZ321" s="323"/>
      <c r="BA321" s="323"/>
      <c r="BB321" s="323"/>
      <c r="BC321" s="323"/>
      <c r="BD321" s="323"/>
      <c r="BE321" s="323"/>
      <c r="BF321" s="323"/>
      <c r="BG321" s="323"/>
      <c r="BH321" s="323"/>
      <c r="BI321" s="323"/>
      <c r="BJ321" s="323"/>
      <c r="BK321" s="323"/>
      <c r="BL321" s="323"/>
      <c r="BM321" s="323"/>
      <c r="BN321" s="323"/>
      <c r="BO321" s="323"/>
      <c r="BP321" s="323"/>
      <c r="BQ321" s="323"/>
      <c r="BR321" s="323"/>
      <c r="BS321" s="323"/>
      <c r="BT321" s="323"/>
      <c r="BU321" s="323"/>
      <c r="BV321" s="323"/>
      <c r="BW321" s="323"/>
      <c r="BX321" s="323"/>
      <c r="BY321" s="323"/>
      <c r="BZ321" s="323"/>
      <c r="CA321" s="323"/>
      <c r="CB321" s="323"/>
      <c r="CC321" s="323"/>
      <c r="CD321" s="323"/>
      <c r="CE321" s="323"/>
      <c r="CF321" s="323"/>
      <c r="CG321" s="323"/>
      <c r="CH321" s="323"/>
      <c r="CI321" s="323"/>
      <c r="CJ321" s="323"/>
      <c r="CK321" s="323"/>
      <c r="CL321" s="323"/>
      <c r="CM321" s="323"/>
      <c r="CN321" s="323"/>
      <c r="CO321" s="323"/>
      <c r="CP321" s="431"/>
      <c r="CQ321" s="434"/>
      <c r="CR321" s="323"/>
      <c r="CS321" s="323"/>
      <c r="CT321" s="323"/>
      <c r="CU321" s="323"/>
      <c r="CV321" s="323"/>
      <c r="CW321" s="323"/>
      <c r="CX321" s="323"/>
      <c r="CY321" s="323"/>
      <c r="CZ321" s="323"/>
    </row>
    <row r="322" spans="2:222" ht="33.75" hidden="1" customHeight="1" outlineLevel="1" x14ac:dyDescent="0.35">
      <c r="B322" s="194"/>
      <c r="C322" s="665">
        <v>0</v>
      </c>
      <c r="D322" s="920" t="s">
        <v>81</v>
      </c>
      <c r="E322" s="921"/>
      <c r="F322" s="338" t="s">
        <v>120</v>
      </c>
      <c r="G322" s="338" t="s">
        <v>121</v>
      </c>
      <c r="H322" s="346" t="s">
        <v>84</v>
      </c>
      <c r="I322" s="891" t="s">
        <v>81</v>
      </c>
      <c r="J322" s="892"/>
      <c r="K322" s="479" t="s">
        <v>120</v>
      </c>
      <c r="L322" s="479" t="s">
        <v>121</v>
      </c>
      <c r="M322" s="508" t="s">
        <v>84</v>
      </c>
      <c r="N322" s="195" t="s">
        <v>4</v>
      </c>
      <c r="O322" s="195" t="s">
        <v>85</v>
      </c>
      <c r="P322" s="195" t="s">
        <v>5</v>
      </c>
      <c r="Q322" s="195" t="s">
        <v>86</v>
      </c>
      <c r="R322" s="192"/>
      <c r="S322" s="196"/>
      <c r="U322" s="251"/>
      <c r="V322" s="251"/>
      <c r="W322" s="323" t="s">
        <v>87</v>
      </c>
      <c r="X322" s="323" t="s">
        <v>88</v>
      </c>
      <c r="Y322" s="323" t="s">
        <v>89</v>
      </c>
      <c r="Z322" s="323" t="s">
        <v>90</v>
      </c>
      <c r="AA322" s="323" t="s">
        <v>91</v>
      </c>
      <c r="AB322" s="323"/>
      <c r="AC322" s="323"/>
      <c r="AD322" s="323"/>
      <c r="AE322" s="323" t="s">
        <v>92</v>
      </c>
      <c r="AF322" s="323"/>
      <c r="AG322" s="323"/>
      <c r="AH322" s="323"/>
      <c r="AI322" s="323"/>
      <c r="AJ322" s="323"/>
      <c r="AK322" s="323"/>
      <c r="AL322" s="323"/>
      <c r="AM322" s="323"/>
      <c r="AN322" s="323">
        <f>SUM(AN324:AN328)</f>
        <v>0</v>
      </c>
      <c r="AO322" s="323">
        <f>SUM(AO324:AO328)</f>
        <v>0</v>
      </c>
      <c r="AP322" s="323"/>
      <c r="AQ322" s="323"/>
      <c r="AR322" s="323">
        <f>SUM(AR324:AR327)</f>
        <v>0</v>
      </c>
      <c r="AS322" s="323">
        <f>SUM(AS324:AS327)</f>
        <v>0</v>
      </c>
      <c r="AT322" s="323"/>
      <c r="AU322" s="323"/>
      <c r="AV322" s="323" t="str">
        <f>IFERROR(IF(M322-1&gt;0,VLOOKUP(L320&amp;"_"&amp;L322,'LCA data'!$B$7:$X$200,19,FALSE)*C322,""),"")</f>
        <v/>
      </c>
      <c r="AW322" s="323" t="str">
        <f>IFERROR(AU322+VLOOKUP(L320&amp;"_"&amp;L322,'LCA data'!$B$7:$X$238,2,FALSE),"")</f>
        <v/>
      </c>
      <c r="AX322" s="323" t="str">
        <f>IFERROR(IF(M322-2&gt;0,VLOOKUP(L320&amp;"_"&amp;L322,'LCA data'!$B$7:$X$200,19,FALSE)*C322,""),"")</f>
        <v/>
      </c>
      <c r="AY322" s="323"/>
      <c r="AZ322" s="323"/>
      <c r="BA322" s="323"/>
      <c r="BB322" s="323"/>
      <c r="BC322" s="323"/>
      <c r="BD322" s="323"/>
      <c r="BE322" s="323"/>
      <c r="BF322" s="323"/>
      <c r="BG322" s="323"/>
      <c r="BH322" s="323"/>
      <c r="BI322" s="323"/>
      <c r="BJ322" s="323"/>
      <c r="BK322" s="323"/>
      <c r="BL322" s="323"/>
      <c r="BM322" s="323"/>
      <c r="BN322" s="323"/>
      <c r="BO322" s="323"/>
      <c r="BP322" s="323"/>
      <c r="BQ322" s="323"/>
      <c r="BR322" s="323"/>
      <c r="BS322" s="323"/>
      <c r="BT322" s="323"/>
      <c r="BU322" s="323"/>
      <c r="BV322" s="323"/>
      <c r="BW322" s="323"/>
      <c r="BX322" s="323"/>
      <c r="BY322" s="323"/>
      <c r="BZ322" s="323"/>
      <c r="CA322" s="323"/>
      <c r="CB322" s="323"/>
      <c r="CC322" s="323"/>
      <c r="CD322" s="323"/>
      <c r="CE322" s="323"/>
      <c r="CF322" s="323"/>
      <c r="CG322" s="323"/>
      <c r="CH322" s="323"/>
      <c r="CI322" s="323"/>
      <c r="CJ322" s="323"/>
      <c r="CK322" s="323"/>
      <c r="CL322" s="323"/>
      <c r="CM322" s="323"/>
      <c r="CN322" s="323"/>
      <c r="CO322" s="323"/>
      <c r="CP322" s="431"/>
      <c r="CQ322" s="433"/>
      <c r="CR322" s="323"/>
      <c r="CS322" s="323"/>
      <c r="CT322" s="323"/>
      <c r="CU322" s="323"/>
      <c r="CV322" s="323"/>
      <c r="CW322" s="323"/>
      <c r="CX322" s="323"/>
      <c r="CY322" s="323"/>
      <c r="CZ322" s="323"/>
    </row>
    <row r="323" spans="2:222" s="198" customFormat="1" ht="27.65" hidden="1" customHeight="1" outlineLevel="1" x14ac:dyDescent="0.35">
      <c r="B323" s="199"/>
      <c r="C323" s="200" t="s">
        <v>93</v>
      </c>
      <c r="D323" s="348"/>
      <c r="E323" s="348"/>
      <c r="F323" s="347" t="s">
        <v>122</v>
      </c>
      <c r="G323" s="348" t="s">
        <v>95</v>
      </c>
      <c r="H323" s="349" t="s">
        <v>96</v>
      </c>
      <c r="I323" s="511"/>
      <c r="J323" s="511"/>
      <c r="K323" s="510" t="s">
        <v>122</v>
      </c>
      <c r="L323" s="511" t="s">
        <v>95</v>
      </c>
      <c r="M323" s="512" t="s">
        <v>96</v>
      </c>
      <c r="N323" s="201" t="s">
        <v>97</v>
      </c>
      <c r="O323" s="201" t="s">
        <v>97</v>
      </c>
      <c r="P323" s="201" t="s">
        <v>97</v>
      </c>
      <c r="Q323" s="201" t="s">
        <v>97</v>
      </c>
      <c r="R323" s="202"/>
      <c r="S323" s="203"/>
      <c r="T323" s="204"/>
      <c r="U323" s="325"/>
      <c r="V323" s="325"/>
      <c r="W323" s="323">
        <f>SUM(W324:W329)</f>
        <v>0</v>
      </c>
      <c r="X323" s="323">
        <f>SUM(X324:X329)</f>
        <v>0</v>
      </c>
      <c r="Y323" s="323"/>
      <c r="Z323" s="323"/>
      <c r="AA323" s="323"/>
      <c r="AB323" s="323" t="s">
        <v>111</v>
      </c>
      <c r="AC323" s="323" t="s">
        <v>98</v>
      </c>
      <c r="AD323" s="323" t="s">
        <v>99</v>
      </c>
      <c r="AE323" s="323" t="s">
        <v>100</v>
      </c>
      <c r="AF323" s="323"/>
      <c r="AG323" s="323"/>
      <c r="AH323" s="323"/>
      <c r="AI323" s="323"/>
      <c r="AJ323" s="323"/>
      <c r="AK323" s="323"/>
      <c r="AL323" s="323"/>
      <c r="AM323" s="323"/>
      <c r="AN323" s="323"/>
      <c r="AO323" s="323"/>
      <c r="AP323" s="323"/>
      <c r="AQ323" s="323"/>
      <c r="AR323" s="323"/>
      <c r="AS323" s="323"/>
      <c r="AT323" s="323"/>
      <c r="AU323" s="323"/>
      <c r="AV323" s="323" t="str">
        <f>IFERROR(IF(M323-1&gt;0,VLOOKUP(L321&amp;"_"&amp;L323,'LCA data'!$B$7:$X$200,19,FALSE)*C323,""),"")</f>
        <v/>
      </c>
      <c r="AW323" s="323" t="str">
        <f>IFERROR(AU323+VLOOKUP(L321&amp;"_"&amp;L323,'LCA data'!$B$7:$X$238,2,FALSE),"")</f>
        <v/>
      </c>
      <c r="AX323" s="323" t="str">
        <f>IFERROR(IF(M323-2&gt;0,VLOOKUP(L321&amp;"_"&amp;L323,'LCA data'!$B$7:$X$200,19,FALSE)*C323,""),"")</f>
        <v/>
      </c>
      <c r="AY323" s="323"/>
      <c r="AZ323" s="323"/>
      <c r="BA323" s="323"/>
      <c r="BB323" s="323"/>
      <c r="BC323" s="323"/>
      <c r="BD323" s="323"/>
      <c r="BE323" s="323"/>
      <c r="BF323" s="323"/>
      <c r="BG323" s="323"/>
      <c r="BH323" s="323"/>
      <c r="BI323" s="323"/>
      <c r="BJ323" s="323"/>
      <c r="BK323" s="323"/>
      <c r="BL323" s="323"/>
      <c r="BM323" s="323"/>
      <c r="BN323" s="323"/>
      <c r="BO323" s="323"/>
      <c r="BP323" s="323"/>
      <c r="BQ323" s="323"/>
      <c r="BR323" s="323"/>
      <c r="BS323" s="323"/>
      <c r="BT323" s="323"/>
      <c r="BU323" s="323"/>
      <c r="BV323" s="323"/>
      <c r="BW323" s="323"/>
      <c r="BX323" s="323"/>
      <c r="BY323" s="323"/>
      <c r="BZ323" s="323"/>
      <c r="CA323" s="323"/>
      <c r="CB323" s="323"/>
      <c r="CC323" s="323"/>
      <c r="CD323" s="323"/>
      <c r="CE323" s="323"/>
      <c r="CF323" s="323"/>
      <c r="CG323" s="323"/>
      <c r="CH323" s="323"/>
      <c r="CI323" s="323"/>
      <c r="CJ323" s="323"/>
      <c r="CK323" s="323"/>
      <c r="CL323" s="323"/>
      <c r="CM323" s="323"/>
      <c r="CN323" s="323"/>
      <c r="CO323" s="323"/>
      <c r="CP323" s="431"/>
      <c r="CQ323" s="433"/>
      <c r="CR323" s="323"/>
      <c r="CS323" s="323"/>
      <c r="CT323" s="323"/>
      <c r="CU323" s="323"/>
      <c r="CV323" s="323"/>
      <c r="CW323" s="323"/>
      <c r="CX323" s="323"/>
      <c r="CY323" s="323"/>
      <c r="CZ323" s="323"/>
      <c r="DA323" s="325"/>
      <c r="DB323" s="325"/>
      <c r="DC323" s="325"/>
      <c r="DD323" s="325"/>
      <c r="DE323" s="325"/>
      <c r="DF323" s="325"/>
      <c r="DG323" s="325"/>
      <c r="DH323" s="325"/>
      <c r="DI323" s="325"/>
      <c r="DJ323" s="325"/>
      <c r="DK323" s="325"/>
      <c r="DL323" s="325"/>
      <c r="DM323" s="325"/>
      <c r="DN323" s="325"/>
      <c r="DO323" s="325"/>
      <c r="DP323" s="325"/>
      <c r="DQ323" s="325"/>
      <c r="DR323" s="325"/>
      <c r="DS323" s="325"/>
      <c r="DT323" s="325"/>
      <c r="DU323" s="325"/>
      <c r="DV323" s="325"/>
      <c r="DW323" s="325"/>
      <c r="DX323" s="325"/>
      <c r="DY323" s="325"/>
      <c r="DZ323" s="325"/>
      <c r="EA323" s="325"/>
      <c r="EB323" s="325"/>
      <c r="EC323" s="325"/>
      <c r="ED323" s="325"/>
      <c r="EE323" s="325"/>
      <c r="EF323" s="325"/>
      <c r="EG323" s="325"/>
      <c r="EH323" s="325"/>
      <c r="EI323" s="325"/>
      <c r="EJ323" s="325"/>
      <c r="EK323" s="325"/>
      <c r="EL323" s="325"/>
      <c r="EM323" s="325"/>
      <c r="EN323" s="325"/>
      <c r="EO323" s="325"/>
      <c r="EP323" s="325"/>
      <c r="EQ323" s="325"/>
      <c r="ER323" s="325"/>
      <c r="ES323" s="325"/>
      <c r="ET323" s="325"/>
      <c r="EU323" s="325"/>
      <c r="EV323" s="325"/>
      <c r="EW323" s="325"/>
      <c r="EX323" s="325"/>
      <c r="EY323" s="325"/>
      <c r="EZ323" s="325"/>
      <c r="FA323" s="325"/>
      <c r="FB323" s="325"/>
      <c r="FC323" s="325"/>
      <c r="FD323" s="325"/>
      <c r="FE323" s="325"/>
      <c r="FF323" s="325"/>
      <c r="FG323" s="325"/>
      <c r="FH323" s="325"/>
      <c r="FI323" s="325"/>
      <c r="FJ323" s="325"/>
      <c r="FK323" s="325"/>
      <c r="FL323" s="325"/>
      <c r="FM323" s="325"/>
      <c r="FN323" s="325"/>
      <c r="FO323" s="325"/>
      <c r="FP323" s="325"/>
      <c r="FQ323" s="325"/>
      <c r="FR323" s="325"/>
      <c r="FS323" s="325"/>
      <c r="FT323" s="325"/>
      <c r="FU323" s="325"/>
      <c r="FV323" s="325"/>
      <c r="FW323" s="325"/>
      <c r="FX323" s="325"/>
      <c r="FY323" s="325"/>
      <c r="FZ323" s="325"/>
      <c r="GA323" s="325"/>
      <c r="GB323" s="325"/>
      <c r="GC323" s="325"/>
      <c r="GD323" s="325"/>
      <c r="GE323" s="325"/>
      <c r="GF323" s="325"/>
      <c r="GG323" s="325"/>
      <c r="GH323" s="325"/>
      <c r="GI323" s="325"/>
      <c r="GJ323" s="325"/>
      <c r="GK323" s="325"/>
      <c r="GL323" s="325"/>
      <c r="GM323" s="325"/>
      <c r="GN323" s="325"/>
      <c r="GO323" s="325"/>
      <c r="GP323" s="325"/>
      <c r="GQ323" s="325"/>
      <c r="GR323" s="325"/>
      <c r="GS323" s="325"/>
      <c r="GT323" s="325"/>
      <c r="GU323" s="325"/>
      <c r="GV323" s="325"/>
      <c r="GW323" s="325"/>
      <c r="GX323" s="325"/>
      <c r="GY323" s="325"/>
      <c r="GZ323" s="325"/>
      <c r="HA323" s="325"/>
      <c r="HB323" s="325"/>
      <c r="HC323" s="325"/>
      <c r="HD323" s="325"/>
      <c r="HE323" s="325"/>
      <c r="HF323" s="325"/>
      <c r="HG323" s="325"/>
      <c r="HH323" s="325"/>
      <c r="HI323" s="325"/>
      <c r="HJ323" s="325"/>
      <c r="HK323" s="325"/>
      <c r="HL323" s="325"/>
      <c r="HM323" s="325"/>
      <c r="HN323" s="325"/>
    </row>
    <row r="324" spans="2:222" ht="48" hidden="1" customHeight="1" outlineLevel="1" x14ac:dyDescent="0.35">
      <c r="B324" s="363" t="str">
        <f>'LCA data'!$B$167</f>
        <v>Vinduer</v>
      </c>
      <c r="C324" s="465">
        <f>$C$47*C322</f>
        <v>0</v>
      </c>
      <c r="D324" s="918" t="s">
        <v>103</v>
      </c>
      <c r="E324" s="919"/>
      <c r="F324" s="388"/>
      <c r="G324" s="16" t="s">
        <v>126</v>
      </c>
      <c r="H324" s="351">
        <f>IFERROR(IF(VLOOKUP(B324&amp;"_"&amp;D324,'LCA data'!$B$7:$X$200,2,FALSE)&lt;$Y$24,1,0)+IF(VLOOKUP(B324&amp;"_"&amp;D324,'LCA data'!$B$7:$X$200,2,FALSE)*2&lt;$Y$24,1,0),"")</f>
        <v>0</v>
      </c>
      <c r="I324" s="918" t="s">
        <v>103</v>
      </c>
      <c r="J324" s="919"/>
      <c r="K324" s="523"/>
      <c r="L324" s="16" t="s">
        <v>103</v>
      </c>
      <c r="M324" s="515">
        <f>IFERROR(IF(VLOOKUP(B324&amp;"_"&amp;I324,'LCA data'!$B$7:$X$200,2,FALSE)&lt;$Y$24,1,0)+IF(VLOOKUP(B324&amp;"_"&amp;I324,'LCA data'!$B$7:$X$200,2,FALSE)*2&lt;$Y$24,1,0),"")</f>
        <v>0</v>
      </c>
      <c r="N324" s="364">
        <f>W324/1000</f>
        <v>0</v>
      </c>
      <c r="O324" s="531">
        <f>N324</f>
        <v>0</v>
      </c>
      <c r="P324" s="365">
        <f>X324/1000</f>
        <v>0</v>
      </c>
      <c r="Q324" s="530">
        <f>P324</f>
        <v>0</v>
      </c>
      <c r="R324" s="192"/>
      <c r="S324" s="196"/>
      <c r="U324" s="251"/>
      <c r="V324" s="251"/>
      <c r="W324" s="323">
        <f>IF(D324="Angiv ikke",0,((1+H324)*VLOOKUP(B324&amp;"_"&amp;D324,'LCA data'!$B$7:$X$360,19,FALSE)*C324))+IF(G324="Angiv ikke",0,VLOOKUP(G322&amp;"_"&amp;G324,'LCA data'!$B$7:$X$360,19,FALSE))*C324</f>
        <v>0</v>
      </c>
      <c r="X324" s="323">
        <f>IF(I324="Angiv ikke",0,((1+M324)*VLOOKUP(B324&amp;"_"&amp;I324,'LCA data'!$B$7:$X$360,19,FALSE)*C324))+IF(L324="Angiv ikke",0,VLOOKUP(L322&amp;"_"&amp;L324,'LCA data'!$B$7:$X$360,19,FALSE))*C324</f>
        <v>0</v>
      </c>
      <c r="Y324" s="323">
        <f>AC324*$J$21*$Y$24</f>
        <v>0</v>
      </c>
      <c r="Z324" s="323">
        <f>AC325*$J$21*$Y$24</f>
        <v>0</v>
      </c>
      <c r="AA324" s="323" t="s">
        <v>4</v>
      </c>
      <c r="AB324" s="323">
        <f>AF324/$J$21/$Y$24*1000</f>
        <v>0</v>
      </c>
      <c r="AC324" s="323">
        <f>Varmetab!H86</f>
        <v>0</v>
      </c>
      <c r="AD324" s="323">
        <f>AB324+AC324</f>
        <v>0</v>
      </c>
      <c r="AE324" s="323" t="s">
        <v>4</v>
      </c>
      <c r="AF324" s="323">
        <f>W323/1000</f>
        <v>0</v>
      </c>
      <c r="AG324" s="323"/>
      <c r="AH324" s="323"/>
      <c r="AI324" s="323"/>
      <c r="AJ324" s="323"/>
      <c r="AK324" s="323"/>
      <c r="AL324" s="323"/>
      <c r="AM324" s="323"/>
      <c r="AN324" s="323">
        <f>IF(G324="Angiv ikke",0,(C324*(VLOOKUP(G322&amp;"_"&amp;G324,'LCA data'!$B$7:$AA$360,9,FALSE))))</f>
        <v>0</v>
      </c>
      <c r="AO324" s="323">
        <f>IF(L324="Angiv ikke",0,(C324*(VLOOKUP(L322&amp;"_"&amp;L324,'LCA data'!$B$7:$AA$360,9,FALSE))))</f>
        <v>0</v>
      </c>
      <c r="AP324" s="323"/>
      <c r="AQ324" s="323"/>
      <c r="AR324" s="323">
        <f>IF(G324="Angiv ikke",0,(C324*(VLOOKUP(G322&amp;"_"&amp;G324,'LCA data'!$B$7:$AA$360,24,FALSE))))</f>
        <v>0</v>
      </c>
      <c r="AS324" s="323">
        <f>IF(L324="Angiv ikke",0,(C324*(VLOOKUP(L322&amp;"_"&amp;L324,'LCA data'!$B$7:$AA$360,24,FALSE))))</f>
        <v>0</v>
      </c>
      <c r="AT324" s="323"/>
      <c r="AU324" s="323"/>
      <c r="AV324" s="323" t="str">
        <f>IFERROR(IF(M324-1&gt;0,VLOOKUP(L322&amp;"_"&amp;L324,'LCA data'!$B$7:$X$200,19,FALSE)*C324,""),"")</f>
        <v/>
      </c>
      <c r="AW324" s="323" t="str">
        <f>IFERROR(AU324+VLOOKUP(L322&amp;"_"&amp;L324,'LCA data'!$B$7:$X$238,2,FALSE),"")</f>
        <v/>
      </c>
      <c r="AX324" s="323" t="str">
        <f>IFERROR(IF(M324-2&gt;0,VLOOKUP(L322&amp;"_"&amp;L324,'LCA data'!$B$7:$X$200,19,FALSE)*C324,""),"")</f>
        <v/>
      </c>
      <c r="AY324" s="323"/>
      <c r="AZ324" s="323"/>
      <c r="BA324" s="323"/>
      <c r="BB324" s="323"/>
      <c r="BC324" s="323"/>
      <c r="BD324" s="323"/>
      <c r="BE324" s="323"/>
      <c r="BF324" s="323"/>
      <c r="BG324" s="323"/>
      <c r="BH324" s="323"/>
      <c r="BI324" s="323"/>
      <c r="BJ324" s="323"/>
      <c r="BK324" s="323"/>
      <c r="BL324" s="323"/>
      <c r="BM324" s="323"/>
      <c r="BN324" s="323"/>
      <c r="BO324" s="323"/>
      <c r="BP324" s="323"/>
      <c r="BQ324" s="323"/>
      <c r="BR324" s="323"/>
      <c r="BS324" s="323"/>
      <c r="BT324" s="323"/>
      <c r="BU324" s="323"/>
      <c r="BV324" s="323"/>
      <c r="BW324" s="323"/>
      <c r="BX324" s="323"/>
      <c r="BY324" s="323"/>
      <c r="BZ324" s="323"/>
      <c r="CA324" s="323"/>
      <c r="CB324" s="323"/>
      <c r="CC324" s="323"/>
      <c r="CD324" s="323"/>
      <c r="CE324" s="323"/>
      <c r="CF324" s="323"/>
      <c r="CG324" s="323"/>
      <c r="CH324" s="323"/>
      <c r="CI324" s="323"/>
      <c r="CJ324" s="323"/>
      <c r="CK324" s="323"/>
      <c r="CL324" s="323"/>
      <c r="CM324" s="323"/>
      <c r="CN324" s="323"/>
      <c r="CO324" s="323"/>
      <c r="CP324" s="435"/>
      <c r="CQ324" s="433"/>
      <c r="CR324" s="323"/>
      <c r="CS324" s="323"/>
      <c r="CT324" s="323"/>
      <c r="CU324" s="323"/>
      <c r="CV324" s="323"/>
      <c r="CW324" s="323"/>
      <c r="CX324" s="323"/>
      <c r="CY324" s="323"/>
      <c r="CZ324" s="323"/>
    </row>
    <row r="325" spans="2:222" ht="48" hidden="1" customHeight="1" outlineLevel="1" thickBot="1" x14ac:dyDescent="0.4">
      <c r="B325" s="389" t="s">
        <v>123</v>
      </c>
      <c r="C325" s="201" t="s">
        <v>124</v>
      </c>
      <c r="D325" s="928" t="str">
        <f>IFERROR(IF(F325&gt;0,F325,VLOOKUP(D324,Dropdown!$T$1:$U$8,2,FALSE)),"")</f>
        <v/>
      </c>
      <c r="E325" s="929"/>
      <c r="F325" s="658"/>
      <c r="G325" s="390"/>
      <c r="H325" s="391"/>
      <c r="I325" s="916" t="str">
        <f>IFERROR(IF(K325&gt;0,K325,VLOOKUP(I324,Dropdown!$T$1:$U$8,2,FALSE)),"")</f>
        <v/>
      </c>
      <c r="J325" s="917"/>
      <c r="K325" s="657"/>
      <c r="L325" s="525"/>
      <c r="M325" s="526"/>
      <c r="N325" s="392"/>
      <c r="O325" s="392"/>
      <c r="P325" s="393"/>
      <c r="Q325" s="394"/>
      <c r="R325" s="192"/>
      <c r="S325" s="196"/>
      <c r="U325" s="251"/>
      <c r="V325" s="251"/>
      <c r="W325" s="323"/>
      <c r="X325" s="323"/>
      <c r="Y325" s="323"/>
      <c r="Z325" s="323"/>
      <c r="AA325" s="323" t="s">
        <v>5</v>
      </c>
      <c r="AB325" s="323">
        <f>AG325/$J$21/$Y$24*1000</f>
        <v>0</v>
      </c>
      <c r="AC325" s="323">
        <f>Varmetab!I86</f>
        <v>0</v>
      </c>
      <c r="AD325" s="323">
        <f>AB325+AC325</f>
        <v>0</v>
      </c>
      <c r="AE325" s="323" t="s">
        <v>5</v>
      </c>
      <c r="AF325" s="323"/>
      <c r="AG325" s="323">
        <f>X323/1000</f>
        <v>0</v>
      </c>
      <c r="AH325" s="323"/>
      <c r="AI325" s="323"/>
      <c r="AJ325" s="323"/>
      <c r="AK325" s="323"/>
      <c r="AL325" s="323"/>
      <c r="AM325" s="323"/>
      <c r="AN325" s="323">
        <f>IF(D324="Angiv ikke",0,(C324*(VLOOKUP(B324&amp;"_"&amp;D324,'LCA data'!$B$7:$AA$360,9,FALSE))))</f>
        <v>0</v>
      </c>
      <c r="AO325" s="323">
        <f>IF(I324="Angiv ikke",0,(C324*(VLOOKUP(B324&amp;"_"&amp;I324,'LCA data'!$B$7:$AA$360,9,FALSE))))</f>
        <v>0</v>
      </c>
      <c r="AP325" s="323"/>
      <c r="AQ325" s="323"/>
      <c r="AR325" s="323"/>
      <c r="AS325" s="323"/>
      <c r="AT325" s="323"/>
      <c r="AU325" s="323"/>
      <c r="AV325" s="323" t="str">
        <f>IFERROR(IF(M325-1&gt;0,VLOOKUP(L323&amp;"_"&amp;L325,'LCA data'!$B$7:$X$200,19,FALSE)*C325,""),"")</f>
        <v/>
      </c>
      <c r="AW325" s="323" t="str">
        <f>IFERROR(AU325+VLOOKUP(L323&amp;"_"&amp;L325,'LCA data'!$B$7:$X$238,2,FALSE),"")</f>
        <v/>
      </c>
      <c r="AX325" s="323" t="str">
        <f>IFERROR(IF(M325-2&gt;0,VLOOKUP(L323&amp;"_"&amp;L325,'LCA data'!$B$7:$X$200,19,FALSE)*C325,""),"")</f>
        <v/>
      </c>
      <c r="AY325" s="323"/>
      <c r="AZ325" s="323"/>
      <c r="BA325" s="323"/>
      <c r="BB325" s="323"/>
      <c r="BC325" s="323"/>
      <c r="BD325" s="323"/>
      <c r="BE325" s="323"/>
      <c r="BF325" s="323"/>
      <c r="BG325" s="323"/>
      <c r="BH325" s="323"/>
      <c r="BI325" s="323"/>
      <c r="BJ325" s="323"/>
      <c r="BK325" s="323"/>
      <c r="BL325" s="323"/>
      <c r="BM325" s="323"/>
      <c r="BN325" s="323"/>
      <c r="BO325" s="323"/>
      <c r="BP325" s="323"/>
      <c r="BQ325" s="323"/>
      <c r="BR325" s="323"/>
      <c r="BS325" s="323"/>
      <c r="BT325" s="323"/>
      <c r="BU325" s="323"/>
      <c r="BV325" s="323"/>
      <c r="BW325" s="323"/>
      <c r="BX325" s="323"/>
      <c r="BY325" s="323"/>
      <c r="BZ325" s="323"/>
      <c r="CA325" s="323"/>
      <c r="CB325" s="323"/>
      <c r="CC325" s="323"/>
      <c r="CD325" s="323"/>
      <c r="CE325" s="323"/>
      <c r="CF325" s="323"/>
      <c r="CG325" s="323"/>
      <c r="CH325" s="323"/>
      <c r="CI325" s="323"/>
      <c r="CJ325" s="323"/>
      <c r="CK325" s="323"/>
      <c r="CL325" s="323"/>
      <c r="CM325" s="323"/>
      <c r="CN325" s="323"/>
      <c r="CO325" s="323"/>
      <c r="CP325" s="443"/>
      <c r="CQ325" s="438"/>
      <c r="CR325" s="323"/>
      <c r="CS325" s="323"/>
      <c r="CT325" s="323"/>
      <c r="CU325" s="323"/>
      <c r="CV325" s="323"/>
      <c r="CW325" s="323"/>
      <c r="CX325" s="323"/>
      <c r="CY325" s="323"/>
      <c r="CZ325" s="323"/>
    </row>
    <row r="326" spans="2:222" s="198" customFormat="1" ht="18.75" hidden="1" customHeight="1" outlineLevel="1" thickBot="1" x14ac:dyDescent="0.4">
      <c r="B326" s="395" t="s">
        <v>125</v>
      </c>
      <c r="C326" s="396"/>
      <c r="D326" s="396"/>
      <c r="E326" s="396"/>
      <c r="F326" s="396"/>
      <c r="G326" s="396"/>
      <c r="H326" s="396"/>
      <c r="I326" s="396"/>
      <c r="J326" s="396"/>
      <c r="K326" s="396"/>
      <c r="L326" s="396"/>
      <c r="M326" s="396"/>
      <c r="N326" s="397"/>
      <c r="O326" s="396"/>
      <c r="P326" s="398"/>
      <c r="Q326" s="396"/>
      <c r="R326" s="192"/>
      <c r="S326" s="196"/>
      <c r="T326" s="204"/>
      <c r="U326" s="325"/>
      <c r="V326" s="325"/>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c r="AU326" s="323"/>
      <c r="AV326" s="323" t="str">
        <f>IFERROR(IF(M326-1&gt;0,VLOOKUP(J325&amp;"_"&amp;L326,'LCA data'!$B$7:$X$200,19,FALSE)*C326,""),"")</f>
        <v/>
      </c>
      <c r="AW326" s="323" t="str">
        <f>IFERROR(AU326+VLOOKUP(J325&amp;"_"&amp;L326,'LCA data'!$B$7:$X$238,2,FALSE),"")</f>
        <v/>
      </c>
      <c r="AX326" s="323" t="str">
        <f>IFERROR(IF(M326-2&gt;0,VLOOKUP(J325&amp;"_"&amp;L326,'LCA data'!$B$7:$X$200,19,FALSE)*C326,""),"")</f>
        <v/>
      </c>
      <c r="AY326" s="323"/>
      <c r="AZ326" s="323"/>
      <c r="BA326" s="323"/>
      <c r="BB326" s="323"/>
      <c r="BC326" s="323"/>
      <c r="BD326" s="323"/>
      <c r="BE326" s="323"/>
      <c r="BF326" s="323"/>
      <c r="BG326" s="323"/>
      <c r="BH326" s="323"/>
      <c r="BI326" s="323"/>
      <c r="BJ326" s="323"/>
      <c r="BK326" s="323"/>
      <c r="BL326" s="323"/>
      <c r="BM326" s="323"/>
      <c r="BN326" s="323"/>
      <c r="BO326" s="323"/>
      <c r="BP326" s="323"/>
      <c r="BQ326" s="323"/>
      <c r="BR326" s="323"/>
      <c r="BS326" s="323"/>
      <c r="BT326" s="323"/>
      <c r="BU326" s="323"/>
      <c r="BV326" s="323"/>
      <c r="BW326" s="323"/>
      <c r="BX326" s="323"/>
      <c r="BY326" s="323"/>
      <c r="BZ326" s="323"/>
      <c r="CA326" s="323"/>
      <c r="CB326" s="323"/>
      <c r="CC326" s="323"/>
      <c r="CD326" s="323"/>
      <c r="CE326" s="323"/>
      <c r="CF326" s="323"/>
      <c r="CG326" s="323"/>
      <c r="CH326" s="323"/>
      <c r="CI326" s="323"/>
      <c r="CJ326" s="323"/>
      <c r="CK326" s="323"/>
      <c r="CL326" s="323"/>
      <c r="CM326" s="323"/>
      <c r="CN326" s="323"/>
      <c r="CO326" s="323"/>
      <c r="CP326" s="444"/>
      <c r="CQ326" s="428"/>
      <c r="CR326" s="323"/>
      <c r="CS326" s="323"/>
      <c r="CT326" s="323"/>
      <c r="CU326" s="323"/>
      <c r="CV326" s="323"/>
      <c r="CW326" s="323"/>
      <c r="CX326" s="323"/>
      <c r="CY326" s="323"/>
      <c r="CZ326" s="323"/>
      <c r="DA326" s="325"/>
      <c r="DB326" s="325"/>
      <c r="DC326" s="325"/>
      <c r="DD326" s="325"/>
      <c r="DE326" s="325"/>
      <c r="DF326" s="325"/>
      <c r="DG326" s="325"/>
      <c r="DH326" s="325"/>
      <c r="DI326" s="325"/>
      <c r="DJ326" s="325"/>
      <c r="DK326" s="325"/>
      <c r="DL326" s="325"/>
      <c r="DM326" s="325"/>
      <c r="DN326" s="325"/>
      <c r="DO326" s="325"/>
      <c r="DP326" s="325"/>
      <c r="DQ326" s="325"/>
      <c r="DR326" s="325"/>
      <c r="DS326" s="325"/>
      <c r="DT326" s="325"/>
      <c r="DU326" s="325"/>
      <c r="DV326" s="325"/>
      <c r="DW326" s="325"/>
      <c r="DX326" s="325"/>
      <c r="DY326" s="325"/>
      <c r="DZ326" s="325"/>
      <c r="EA326" s="325"/>
      <c r="EB326" s="325"/>
      <c r="EC326" s="325"/>
      <c r="ED326" s="325"/>
      <c r="EE326" s="325"/>
      <c r="EF326" s="325"/>
      <c r="EG326" s="325"/>
      <c r="EH326" s="325"/>
      <c r="EI326" s="325"/>
      <c r="EJ326" s="325"/>
      <c r="EK326" s="325"/>
      <c r="EL326" s="325"/>
      <c r="EM326" s="325"/>
      <c r="EN326" s="325"/>
      <c r="EO326" s="325"/>
      <c r="EP326" s="325"/>
      <c r="EQ326" s="325"/>
      <c r="ER326" s="325"/>
      <c r="ES326" s="325"/>
      <c r="ET326" s="325"/>
      <c r="EU326" s="325"/>
      <c r="EV326" s="325"/>
      <c r="EW326" s="325"/>
      <c r="EX326" s="325"/>
      <c r="EY326" s="325"/>
      <c r="EZ326" s="325"/>
      <c r="FA326" s="325"/>
      <c r="FB326" s="325"/>
      <c r="FC326" s="325"/>
      <c r="FD326" s="325"/>
      <c r="FE326" s="325"/>
      <c r="FF326" s="325"/>
      <c r="FG326" s="325"/>
      <c r="FH326" s="325"/>
      <c r="FI326" s="325"/>
      <c r="FJ326" s="325"/>
      <c r="FK326" s="325"/>
      <c r="FL326" s="325"/>
      <c r="FM326" s="325"/>
      <c r="FN326" s="325"/>
      <c r="FO326" s="325"/>
      <c r="FP326" s="325"/>
      <c r="FQ326" s="325"/>
      <c r="FR326" s="325"/>
      <c r="FS326" s="325"/>
      <c r="FT326" s="325"/>
      <c r="FU326" s="325"/>
      <c r="FV326" s="325"/>
      <c r="FW326" s="325"/>
      <c r="FX326" s="325"/>
      <c r="FY326" s="325"/>
      <c r="FZ326" s="325"/>
      <c r="GA326" s="325"/>
      <c r="GB326" s="325"/>
      <c r="GC326" s="325"/>
      <c r="GD326" s="325"/>
      <c r="GE326" s="325"/>
      <c r="GF326" s="325"/>
      <c r="GG326" s="325"/>
      <c r="GH326" s="325"/>
      <c r="GI326" s="325"/>
      <c r="GJ326" s="325"/>
      <c r="GK326" s="325"/>
      <c r="GL326" s="325"/>
      <c r="GM326" s="325"/>
      <c r="GN326" s="325"/>
      <c r="GO326" s="325"/>
      <c r="GP326" s="325"/>
      <c r="GQ326" s="325"/>
      <c r="GR326" s="325"/>
      <c r="GS326" s="325"/>
      <c r="GT326" s="325"/>
      <c r="GU326" s="325"/>
      <c r="GV326" s="325"/>
      <c r="GW326" s="325"/>
      <c r="GX326" s="325"/>
      <c r="GY326" s="325"/>
      <c r="GZ326" s="325"/>
      <c r="HA326" s="325"/>
      <c r="HB326" s="325"/>
      <c r="HC326" s="325"/>
      <c r="HD326" s="325"/>
      <c r="HE326" s="325"/>
      <c r="HF326" s="325"/>
      <c r="HG326" s="325"/>
      <c r="HH326" s="325"/>
      <c r="HI326" s="325"/>
      <c r="HJ326" s="325"/>
      <c r="HK326" s="325"/>
      <c r="HL326" s="325"/>
      <c r="HM326" s="325"/>
      <c r="HN326" s="325"/>
    </row>
    <row r="327" spans="2:222" s="198" customFormat="1" ht="18.75" hidden="1" customHeight="1" outlineLevel="1" thickBot="1" x14ac:dyDescent="0.4">
      <c r="B327" s="399"/>
      <c r="C327" s="400"/>
      <c r="D327" s="400"/>
      <c r="E327" s="400"/>
      <c r="F327" s="400"/>
      <c r="G327" s="400"/>
      <c r="H327" s="400"/>
      <c r="I327" s="400"/>
      <c r="J327" s="400"/>
      <c r="K327" s="400"/>
      <c r="L327" s="400"/>
      <c r="M327" s="400"/>
      <c r="N327" s="401"/>
      <c r="O327" s="400"/>
      <c r="P327" s="402"/>
      <c r="Q327" s="400"/>
      <c r="R327" s="212"/>
      <c r="S327" s="213"/>
      <c r="T327" s="204"/>
      <c r="U327" s="325"/>
      <c r="V327" s="325"/>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c r="BM327" s="323"/>
      <c r="BN327" s="323"/>
      <c r="BO327" s="323"/>
      <c r="BP327" s="323"/>
      <c r="BQ327" s="323"/>
      <c r="BR327" s="323"/>
      <c r="BS327" s="323"/>
      <c r="BT327" s="323"/>
      <c r="BU327" s="323"/>
      <c r="BV327" s="323"/>
      <c r="BW327" s="323"/>
      <c r="BX327" s="323"/>
      <c r="BY327" s="323"/>
      <c r="BZ327" s="323"/>
      <c r="CA327" s="323"/>
      <c r="CB327" s="323"/>
      <c r="CC327" s="323"/>
      <c r="CD327" s="323"/>
      <c r="CE327" s="323"/>
      <c r="CF327" s="323"/>
      <c r="CG327" s="323"/>
      <c r="CH327" s="323"/>
      <c r="CI327" s="323"/>
      <c r="CJ327" s="323"/>
      <c r="CK327" s="323"/>
      <c r="CL327" s="323"/>
      <c r="CM327" s="323"/>
      <c r="CN327" s="323"/>
      <c r="CO327" s="323"/>
      <c r="CP327" s="1144" t="s">
        <v>77</v>
      </c>
      <c r="CQ327" s="1145"/>
      <c r="CR327" s="323"/>
      <c r="CS327" s="323"/>
      <c r="CT327" s="323"/>
      <c r="CU327" s="323"/>
      <c r="CV327" s="323"/>
      <c r="CW327" s="323"/>
      <c r="CX327" s="323"/>
      <c r="CY327" s="323"/>
      <c r="CZ327" s="323"/>
      <c r="DA327" s="325"/>
      <c r="DB327" s="325"/>
      <c r="DC327" s="325"/>
      <c r="DD327" s="325"/>
      <c r="DE327" s="325"/>
      <c r="DF327" s="325"/>
      <c r="DG327" s="325"/>
      <c r="DH327" s="325"/>
      <c r="DI327" s="325"/>
      <c r="DJ327" s="325"/>
      <c r="DK327" s="325"/>
      <c r="DL327" s="325"/>
      <c r="DM327" s="325"/>
      <c r="DN327" s="325"/>
      <c r="DO327" s="325"/>
      <c r="DP327" s="325"/>
      <c r="DQ327" s="325"/>
      <c r="DR327" s="325"/>
      <c r="DS327" s="325"/>
      <c r="DT327" s="325"/>
      <c r="DU327" s="325"/>
      <c r="DV327" s="325"/>
      <c r="DW327" s="325"/>
      <c r="DX327" s="325"/>
      <c r="DY327" s="325"/>
      <c r="DZ327" s="325"/>
      <c r="EA327" s="325"/>
      <c r="EB327" s="325"/>
      <c r="EC327" s="325"/>
      <c r="ED327" s="325"/>
      <c r="EE327" s="325"/>
      <c r="EF327" s="325"/>
      <c r="EG327" s="325"/>
      <c r="EH327" s="325"/>
      <c r="EI327" s="325"/>
      <c r="EJ327" s="325"/>
      <c r="EK327" s="325"/>
      <c r="EL327" s="325"/>
      <c r="EM327" s="325"/>
      <c r="EN327" s="325"/>
      <c r="EO327" s="325"/>
      <c r="EP327" s="325"/>
      <c r="EQ327" s="325"/>
      <c r="ER327" s="325"/>
      <c r="ES327" s="325"/>
      <c r="ET327" s="325"/>
      <c r="EU327" s="325"/>
      <c r="EV327" s="325"/>
      <c r="EW327" s="325"/>
      <c r="EX327" s="325"/>
      <c r="EY327" s="325"/>
      <c r="EZ327" s="325"/>
      <c r="FA327" s="325"/>
      <c r="FB327" s="325"/>
      <c r="FC327" s="325"/>
      <c r="FD327" s="325"/>
      <c r="FE327" s="325"/>
      <c r="FF327" s="325"/>
      <c r="FG327" s="325"/>
      <c r="FH327" s="325"/>
      <c r="FI327" s="325"/>
      <c r="FJ327" s="325"/>
      <c r="FK327" s="325"/>
      <c r="FL327" s="325"/>
      <c r="FM327" s="325"/>
      <c r="FN327" s="325"/>
      <c r="FO327" s="325"/>
      <c r="FP327" s="325"/>
      <c r="FQ327" s="325"/>
      <c r="FR327" s="325"/>
      <c r="FS327" s="325"/>
      <c r="FT327" s="325"/>
      <c r="FU327" s="325"/>
      <c r="FV327" s="325"/>
      <c r="FW327" s="325"/>
      <c r="FX327" s="325"/>
      <c r="FY327" s="325"/>
      <c r="FZ327" s="325"/>
      <c r="GA327" s="325"/>
      <c r="GB327" s="325"/>
      <c r="GC327" s="325"/>
      <c r="GD327" s="325"/>
      <c r="GE327" s="325"/>
      <c r="GF327" s="325"/>
      <c r="GG327" s="325"/>
      <c r="GH327" s="325"/>
      <c r="GI327" s="325"/>
      <c r="GJ327" s="325"/>
      <c r="GK327" s="325"/>
      <c r="GL327" s="325"/>
      <c r="GM327" s="325"/>
      <c r="GN327" s="325"/>
      <c r="GO327" s="325"/>
      <c r="GP327" s="325"/>
      <c r="GQ327" s="325"/>
      <c r="GR327" s="325"/>
      <c r="GS327" s="325"/>
      <c r="GT327" s="325"/>
      <c r="GU327" s="325"/>
      <c r="GV327" s="325"/>
      <c r="GW327" s="325"/>
      <c r="GX327" s="325"/>
      <c r="GY327" s="325"/>
      <c r="GZ327" s="325"/>
      <c r="HA327" s="325"/>
      <c r="HB327" s="325"/>
      <c r="HC327" s="325"/>
      <c r="HD327" s="325"/>
      <c r="HE327" s="325"/>
      <c r="HF327" s="325"/>
      <c r="HG327" s="325"/>
      <c r="HH327" s="325"/>
      <c r="HI327" s="325"/>
      <c r="HJ327" s="325"/>
      <c r="HK327" s="325"/>
      <c r="HL327" s="325"/>
      <c r="HM327" s="325"/>
      <c r="HN327" s="325"/>
    </row>
    <row r="328" spans="2:222" ht="16.399999999999999" customHeight="1" collapsed="1" x14ac:dyDescent="0.35">
      <c r="B328" s="556"/>
      <c r="C328" s="557"/>
      <c r="D328" s="542"/>
      <c r="E328" s="557"/>
      <c r="F328" s="557"/>
      <c r="G328" s="557"/>
      <c r="H328" s="557"/>
      <c r="I328" s="542"/>
      <c r="J328" s="557"/>
      <c r="K328" s="557"/>
      <c r="L328" s="557"/>
      <c r="M328" s="557"/>
      <c r="N328" s="404"/>
      <c r="O328" s="404"/>
      <c r="P328" s="404"/>
      <c r="Q328" s="405"/>
      <c r="R328" s="217"/>
      <c r="U328" s="251"/>
      <c r="V328" s="251"/>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c r="AU328" s="323"/>
      <c r="AV328" s="323" t="str">
        <f>IFERROR(IF(M328-1&gt;0,VLOOKUP(K325&amp;"_"&amp;L328,'LCA data'!$B$7:$X$200,19,FALSE)*C328,""),"")</f>
        <v/>
      </c>
      <c r="AW328" s="323" t="str">
        <f>IFERROR(AU328+VLOOKUP(K325&amp;"_"&amp;L328,'LCA data'!$B$7:$X$238,2,FALSE),"")</f>
        <v/>
      </c>
      <c r="AX328" s="323" t="str">
        <f>IFERROR(IF(M328-2&gt;0,VLOOKUP(K325&amp;"_"&amp;L328,'LCA data'!$B$7:$X$200,19,FALSE)*C328,""),"")</f>
        <v/>
      </c>
      <c r="AY328" s="323"/>
      <c r="AZ328" s="323"/>
      <c r="BA328" s="323"/>
      <c r="BB328" s="323"/>
      <c r="BC328" s="323"/>
      <c r="BD328" s="323"/>
      <c r="BE328" s="323"/>
      <c r="BF328" s="323"/>
      <c r="BG328" s="323"/>
      <c r="BH328" s="323"/>
      <c r="BI328" s="323"/>
      <c r="BJ328" s="323"/>
      <c r="BK328" s="323"/>
      <c r="BL328" s="323"/>
      <c r="BM328" s="323"/>
      <c r="BN328" s="323"/>
      <c r="BO328" s="323"/>
      <c r="BP328" s="323"/>
      <c r="BQ328" s="323"/>
      <c r="BR328" s="323"/>
      <c r="BS328" s="323"/>
      <c r="BT328" s="323"/>
      <c r="BU328" s="323"/>
      <c r="BV328" s="323"/>
      <c r="BW328" s="323"/>
      <c r="BX328" s="323"/>
      <c r="BY328" s="323"/>
      <c r="BZ328" s="323"/>
      <c r="CA328" s="323"/>
      <c r="CB328" s="323"/>
      <c r="CC328" s="323"/>
      <c r="CD328" s="323"/>
      <c r="CE328" s="323"/>
      <c r="CF328" s="323"/>
      <c r="CG328" s="323"/>
      <c r="CH328" s="323"/>
      <c r="CI328" s="323"/>
      <c r="CJ328" s="323"/>
      <c r="CK328" s="323"/>
      <c r="CL328" s="323"/>
      <c r="CM328" s="323"/>
      <c r="CN328" s="323"/>
      <c r="CO328" s="323"/>
      <c r="CP328" s="431"/>
      <c r="CQ328" s="432"/>
      <c r="CR328" s="323"/>
      <c r="CS328" s="323"/>
      <c r="CT328" s="323"/>
      <c r="CU328" s="323"/>
      <c r="CV328" s="323"/>
      <c r="CW328" s="323"/>
      <c r="CX328" s="323"/>
      <c r="CY328" s="323"/>
      <c r="CZ328" s="323"/>
    </row>
    <row r="329" spans="2:222" ht="14.9" customHeight="1" thickBot="1" x14ac:dyDescent="0.4">
      <c r="C329" s="373"/>
      <c r="E329" s="373"/>
      <c r="F329" s="373"/>
      <c r="G329" s="373"/>
      <c r="H329" s="373"/>
      <c r="J329" s="373"/>
      <c r="K329" s="373"/>
      <c r="L329" s="373"/>
      <c r="M329" s="373"/>
      <c r="S329" s="217"/>
      <c r="U329" s="251"/>
      <c r="V329" s="251"/>
      <c r="W329" s="323"/>
      <c r="X329" s="323"/>
      <c r="Y329" s="323"/>
      <c r="Z329" s="323"/>
      <c r="AA329" s="323"/>
      <c r="AB329" s="323"/>
      <c r="AC329" s="323"/>
      <c r="AD329" s="323"/>
      <c r="AE329" s="323"/>
      <c r="AF329" s="323"/>
      <c r="AG329" s="323"/>
      <c r="AH329" s="323"/>
      <c r="AI329" s="323"/>
      <c r="AJ329" s="323"/>
      <c r="AK329" s="323"/>
      <c r="AL329" s="323" t="str">
        <f>IFERROR(AJ329+VLOOKUP(B329&amp;"_"&amp;J329,'LCA data'!$B$7:$X$238,2,FALSE),"")</f>
        <v/>
      </c>
      <c r="AM329" s="323" t="str">
        <f>IFERROR(IF(M329-1&gt;0,VLOOKUP(B329&amp;"_"&amp;J329,'LCA data'!$B$7:$X$200,19,FALSE)*C329,""),"")</f>
        <v/>
      </c>
      <c r="AN329" s="323" t="str">
        <f>IFERROR(AL329+VLOOKUP(B329&amp;"_"&amp;J329,'LCA data'!$B$7:$X$238,2,FALSE),"")</f>
        <v/>
      </c>
      <c r="AO329" s="323" t="str">
        <f>IFERROR(IF(M329-2&gt;0,VLOOKUP(B329&amp;"_"&amp;J329,'LCA data'!$B$7:$X$200,19,FALSE)*(K329*10^3)*C329,""),"")</f>
        <v/>
      </c>
      <c r="AP329" s="323"/>
      <c r="AQ329" s="323"/>
      <c r="AR329" s="323" t="str">
        <f>IFERROR(VLOOKUP(L326&amp;"_"&amp;L329,'LCA data'!$B$7:$X$200,19,FALSE)*C329,"")</f>
        <v/>
      </c>
      <c r="AS329" s="323" t="str">
        <f>IFERROR(VLOOKUP($L326&amp;"_"&amp;L329,'LCA data'!$B$7:$X$238,2,FALSE),"")</f>
        <v/>
      </c>
      <c r="AT329" s="323" t="str">
        <f>IFERROR(IF(M329&gt;0,VLOOKUP(L326&amp;"_"&amp;L329,'LCA data'!$B$7:$X$200,19,FALSE)*C329,""),"")</f>
        <v/>
      </c>
      <c r="AU329" s="323" t="str">
        <f>IFERROR(AS329+VLOOKUP(L326&amp;"_"&amp;L329,'LCA data'!$B$7:$X$238,2,FALSE),"")</f>
        <v/>
      </c>
      <c r="AV329" s="323" t="str">
        <f>IFERROR(IF(M329-1&gt;0,VLOOKUP(L326&amp;"_"&amp;L329,'LCA data'!$B$7:$X$200,19,FALSE)*C329,""),"")</f>
        <v/>
      </c>
      <c r="AW329" s="323" t="str">
        <f>IFERROR(AU329+VLOOKUP(L326&amp;"_"&amp;L329,'LCA data'!$B$7:$X$238,2,FALSE),"")</f>
        <v/>
      </c>
      <c r="AX329" s="323" t="str">
        <f>IFERROR(IF(M329-2&gt;0,VLOOKUP(L326&amp;"_"&amp;L329,'LCA data'!$B$7:$X$200,19,FALSE)*C329,""),"")</f>
        <v/>
      </c>
      <c r="AY329" s="323"/>
      <c r="AZ329" s="323"/>
      <c r="BA329" s="323"/>
      <c r="BB329" s="323"/>
      <c r="BC329" s="323"/>
      <c r="BD329" s="323"/>
      <c r="BE329" s="323"/>
      <c r="BF329" s="323"/>
      <c r="BG329" s="323"/>
      <c r="BH329" s="323"/>
      <c r="BI329" s="323"/>
      <c r="BJ329" s="323"/>
      <c r="BK329" s="323"/>
      <c r="BL329" s="323"/>
      <c r="BM329" s="323"/>
      <c r="BN329" s="323"/>
      <c r="BO329" s="323"/>
      <c r="BP329" s="323"/>
      <c r="BQ329" s="323"/>
      <c r="BR329" s="323"/>
      <c r="BS329" s="323"/>
      <c r="BT329" s="323"/>
      <c r="BU329" s="323"/>
      <c r="BV329" s="323"/>
      <c r="BW329" s="323"/>
      <c r="BX329" s="323"/>
      <c r="BY329" s="323"/>
      <c r="BZ329" s="323"/>
      <c r="CA329" s="323"/>
      <c r="CB329" s="323"/>
      <c r="CC329" s="323"/>
      <c r="CD329" s="323"/>
      <c r="CE329" s="323"/>
      <c r="CF329" s="323"/>
      <c r="CG329" s="323"/>
      <c r="CH329" s="323"/>
      <c r="CI329" s="323"/>
      <c r="CJ329" s="323"/>
      <c r="CK329" s="323"/>
      <c r="CL329" s="323"/>
      <c r="CM329" s="323"/>
      <c r="CN329" s="323"/>
      <c r="CO329" s="323"/>
      <c r="CP329" s="431"/>
      <c r="CQ329" s="433"/>
      <c r="CR329" s="323"/>
      <c r="CS329" s="323"/>
      <c r="CT329" s="323"/>
      <c r="CU329" s="323"/>
      <c r="CV329" s="323"/>
      <c r="CW329" s="323"/>
      <c r="CX329" s="323"/>
      <c r="CY329" s="323"/>
      <c r="CZ329" s="323"/>
    </row>
    <row r="330" spans="2:222" ht="40.5" customHeight="1" x14ac:dyDescent="0.7">
      <c r="B330" s="484" t="s">
        <v>127</v>
      </c>
      <c r="C330" s="481"/>
      <c r="D330" s="481"/>
      <c r="E330" s="483"/>
      <c r="F330" s="481"/>
      <c r="G330" s="481"/>
      <c r="H330" s="481"/>
      <c r="I330" s="481"/>
      <c r="J330" s="483"/>
      <c r="K330" s="481"/>
      <c r="L330" s="481"/>
      <c r="M330" s="481"/>
      <c r="N330" s="481"/>
      <c r="O330" s="481"/>
      <c r="P330" s="481"/>
      <c r="Q330" s="481"/>
      <c r="R330" s="481"/>
      <c r="S330" s="482"/>
      <c r="U330" s="251"/>
      <c r="V330" s="251"/>
      <c r="W330" s="323"/>
      <c r="X330" s="323"/>
      <c r="Y330" s="323"/>
      <c r="Z330" s="323"/>
      <c r="AA330" s="323"/>
      <c r="AB330" s="323"/>
      <c r="AC330" s="323"/>
      <c r="AD330" s="323"/>
      <c r="AE330" s="323"/>
      <c r="AF330" s="323"/>
      <c r="AG330" s="323"/>
      <c r="AH330" s="323"/>
      <c r="AI330" s="323"/>
      <c r="AJ330" s="323" t="s">
        <v>746</v>
      </c>
      <c r="AK330" s="323" t="s">
        <v>747</v>
      </c>
      <c r="AL330" s="323" t="str">
        <f>IFERROR(AJ330+VLOOKUP(B330&amp;"_"&amp;J330,'LCA data'!$B$7:$X$238,2,FALSE),"")</f>
        <v/>
      </c>
      <c r="AM330" s="323" t="str">
        <f>IFERROR(IF(M330-1&gt;0,VLOOKUP(B330&amp;"_"&amp;J330,'LCA data'!$B$7:$X$200,19,FALSE)*(K330*10^3)*C330,""),"")</f>
        <v/>
      </c>
      <c r="AN330" s="323" t="str">
        <f>IFERROR(AL330+VLOOKUP(B330&amp;"_"&amp;J330,'LCA data'!$B$7:$X$238,2,FALSE),"")</f>
        <v/>
      </c>
      <c r="AO330" s="323" t="str">
        <f>IFERROR(IF(M330-2&gt;0,VLOOKUP(B330&amp;"_"&amp;J330,'LCA data'!$B$7:$X$200,19,FALSE)*(K330*10^3)*C330,""),"")</f>
        <v/>
      </c>
      <c r="AP330" s="323"/>
      <c r="AQ330" s="323"/>
      <c r="AR330" s="323" t="str">
        <f>IFERROR(VLOOKUP(L328&amp;"_"&amp;L330,'LCA data'!$B$7:$X$200,19,FALSE)*C330,"")</f>
        <v/>
      </c>
      <c r="AS330" s="323" t="str">
        <f>IFERROR(VLOOKUP($L328&amp;"_"&amp;L330,'LCA data'!$B$7:$X$238,2,FALSE),"")</f>
        <v/>
      </c>
      <c r="AT330" s="323" t="str">
        <f>IFERROR(IF(M330&gt;0,VLOOKUP(L328&amp;"_"&amp;L330,'LCA data'!$B$7:$X$200,19,FALSE)*C330,""),"")</f>
        <v/>
      </c>
      <c r="AU330" s="323" t="str">
        <f>IFERROR(AS330+VLOOKUP(L328&amp;"_"&amp;L330,'LCA data'!$B$7:$X$238,2,FALSE),"")</f>
        <v/>
      </c>
      <c r="AV330" s="323" t="str">
        <f>IFERROR(IF(M330-1&gt;0,VLOOKUP(L328&amp;"_"&amp;L330,'LCA data'!$B$7:$X$200,19,FALSE)*C330,""),"")</f>
        <v/>
      </c>
      <c r="AW330" s="323" t="str">
        <f>IFERROR(AU330+VLOOKUP(L328&amp;"_"&amp;L330,'LCA data'!$B$7:$X$238,2,FALSE),"")</f>
        <v/>
      </c>
      <c r="AX330" s="323" t="str">
        <f>IFERROR(IF(M330-2&gt;0,VLOOKUP(L328&amp;"_"&amp;L330,'LCA data'!$B$7:$X$200,19,FALSE)*C330,""),"")</f>
        <v/>
      </c>
      <c r="AY330" s="323"/>
      <c r="AZ330" s="323"/>
      <c r="BA330" s="323"/>
      <c r="BB330" s="323"/>
      <c r="BC330" s="323"/>
      <c r="BD330" s="323"/>
      <c r="BE330" s="323"/>
      <c r="BF330" s="323"/>
      <c r="BG330" s="323"/>
      <c r="BH330" s="323"/>
      <c r="BI330" s="323"/>
      <c r="BJ330" s="323"/>
      <c r="BK330" s="323"/>
      <c r="BL330" s="323"/>
      <c r="BM330" s="323"/>
      <c r="BN330" s="323"/>
      <c r="BO330" s="323"/>
      <c r="BP330" s="323"/>
      <c r="BQ330" s="323"/>
      <c r="BR330" s="323"/>
      <c r="BS330" s="323"/>
      <c r="BT330" s="323"/>
      <c r="BU330" s="323"/>
      <c r="BV330" s="323"/>
      <c r="BW330" s="323"/>
      <c r="BX330" s="323"/>
      <c r="BY330" s="323"/>
      <c r="BZ330" s="323"/>
      <c r="CA330" s="323"/>
      <c r="CB330" s="323"/>
      <c r="CC330" s="323"/>
      <c r="CD330" s="323"/>
      <c r="CE330" s="323"/>
      <c r="CF330" s="323"/>
      <c r="CG330" s="323"/>
      <c r="CH330" s="323"/>
      <c r="CI330" s="323"/>
      <c r="CJ330" s="323"/>
      <c r="CK330" s="323"/>
      <c r="CL330" s="323"/>
      <c r="CM330" s="323"/>
      <c r="CN330" s="323"/>
      <c r="CO330" s="323"/>
      <c r="CP330" s="431"/>
      <c r="CQ330" s="434"/>
      <c r="CR330" s="323"/>
      <c r="CS330" s="323"/>
      <c r="CT330" s="323"/>
      <c r="CU330" s="323"/>
      <c r="CV330" s="323"/>
      <c r="CW330" s="323"/>
      <c r="CX330" s="323"/>
      <c r="CY330" s="323"/>
      <c r="CZ330" s="323"/>
    </row>
    <row r="331" spans="2:222" ht="13.4" customHeight="1" x14ac:dyDescent="0.65">
      <c r="B331" s="407"/>
      <c r="C331" s="373"/>
      <c r="E331" s="373"/>
      <c r="F331" s="373"/>
      <c r="G331" s="373"/>
      <c r="H331" s="373"/>
      <c r="J331" s="373"/>
      <c r="K331" s="373"/>
      <c r="L331" s="373"/>
      <c r="M331" s="373"/>
      <c r="S331" s="227"/>
      <c r="U331" s="251"/>
      <c r="V331" s="251"/>
      <c r="W331" s="323"/>
      <c r="X331" s="323"/>
      <c r="Y331" s="323"/>
      <c r="Z331" s="323"/>
      <c r="AA331" s="323"/>
      <c r="AB331" s="323"/>
      <c r="AC331" s="323"/>
      <c r="AD331" s="323"/>
      <c r="AE331" s="323"/>
      <c r="AF331" s="323"/>
      <c r="AG331" s="323"/>
      <c r="AH331" s="323"/>
      <c r="AI331" s="323" t="str">
        <f>'LCA data'!$B$65</f>
        <v>Indvendig beklædning</v>
      </c>
      <c r="AJ331" s="323">
        <f t="shared" ref="AJ331:AK334" si="23">AJ341+AJ351+AJ361+AJ371+AJ381</f>
        <v>0</v>
      </c>
      <c r="AK331" s="323">
        <f t="shared" si="23"/>
        <v>102484.79999999999</v>
      </c>
      <c r="AL331" s="323" t="str">
        <f>IFERROR(AJ331+VLOOKUP(B331&amp;"_"&amp;J331,'LCA data'!$B$7:$X$238,2,FALSE),"")</f>
        <v/>
      </c>
      <c r="AM331" s="323" t="str">
        <f>IFERROR(IF(M331-1&gt;0,VLOOKUP(B331&amp;"_"&amp;J331,'LCA data'!$B$7:$X$200,19,FALSE)*(K331*10^3)*C331,""),"")</f>
        <v/>
      </c>
      <c r="AN331" s="323" t="str">
        <f>IFERROR(AL331+VLOOKUP(B331&amp;"_"&amp;J331,'LCA data'!$B$7:$X$238,2,FALSE),"")</f>
        <v/>
      </c>
      <c r="AO331" s="323" t="str">
        <f>IFERROR(IF(M331-2&gt;0,VLOOKUP(B331&amp;"_"&amp;J331,'LCA data'!$B$7:$X$200,19,FALSE)*(K331*10^3)*C331,""),"")</f>
        <v/>
      </c>
      <c r="AP331" s="323"/>
      <c r="AQ331" s="323"/>
      <c r="AR331" s="323" t="str">
        <f>IFERROR(VLOOKUP(L329&amp;"_"&amp;L331,'LCA data'!$B$7:$X$200,19,FALSE)*C331,"")</f>
        <v/>
      </c>
      <c r="AS331" s="323" t="str">
        <f>IFERROR(VLOOKUP($L329&amp;"_"&amp;L331,'LCA data'!$B$7:$X$238,2,FALSE),"")</f>
        <v/>
      </c>
      <c r="AT331" s="323" t="str">
        <f>IFERROR(IF(M331&gt;0,VLOOKUP(L329&amp;"_"&amp;L331,'LCA data'!$B$7:$X$200,19,FALSE)*C331,""),"")</f>
        <v/>
      </c>
      <c r="AU331" s="323" t="str">
        <f>IFERROR(AS331+VLOOKUP(L329&amp;"_"&amp;L331,'LCA data'!$B$7:$X$238,2,FALSE),"")</f>
        <v/>
      </c>
      <c r="AV331" s="323" t="str">
        <f>IFERROR(IF(M331-1&gt;0,VLOOKUP(L329&amp;"_"&amp;L331,'LCA data'!$B$7:$X$200,19,FALSE)*C331,""),"")</f>
        <v/>
      </c>
      <c r="AW331" s="323" t="str">
        <f>IFERROR(AU331+VLOOKUP(L329&amp;"_"&amp;L331,'LCA data'!$B$7:$X$238,2,FALSE),"")</f>
        <v/>
      </c>
      <c r="AX331" s="323" t="str">
        <f>IFERROR(IF(M331-2&gt;0,VLOOKUP(L329&amp;"_"&amp;L331,'LCA data'!$B$7:$X$200,19,FALSE)*C331,""),"")</f>
        <v/>
      </c>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323"/>
      <c r="BU331" s="323"/>
      <c r="BV331" s="323"/>
      <c r="BW331" s="323"/>
      <c r="BX331" s="323"/>
      <c r="BY331" s="323"/>
      <c r="BZ331" s="323"/>
      <c r="CA331" s="323"/>
      <c r="CB331" s="323"/>
      <c r="CC331" s="323"/>
      <c r="CD331" s="323"/>
      <c r="CE331" s="323"/>
      <c r="CF331" s="323"/>
      <c r="CG331" s="323"/>
      <c r="CH331" s="323"/>
      <c r="CI331" s="323"/>
      <c r="CJ331" s="323"/>
      <c r="CK331" s="323"/>
      <c r="CL331" s="323"/>
      <c r="CM331" s="323"/>
      <c r="CN331" s="323"/>
      <c r="CO331" s="323"/>
      <c r="CP331" s="431"/>
      <c r="CQ331" s="433"/>
      <c r="CR331" s="323"/>
      <c r="CS331" s="323"/>
      <c r="CT331" s="323"/>
      <c r="CU331" s="323"/>
      <c r="CV331" s="323"/>
      <c r="CW331" s="323"/>
      <c r="CX331" s="323"/>
      <c r="CY331" s="323"/>
      <c r="CZ331" s="323"/>
    </row>
    <row r="332" spans="2:222" ht="25.4" customHeight="1" x14ac:dyDescent="0.35">
      <c r="B332" s="242"/>
      <c r="S332" s="227"/>
      <c r="U332" s="251"/>
      <c r="V332" s="251"/>
      <c r="W332" s="323"/>
      <c r="X332" s="323"/>
      <c r="Y332" s="323"/>
      <c r="Z332" s="323"/>
      <c r="AA332" s="323"/>
      <c r="AB332" s="323"/>
      <c r="AC332" s="323"/>
      <c r="AD332" s="323"/>
      <c r="AE332" s="323"/>
      <c r="AF332" s="323"/>
      <c r="AG332" s="323"/>
      <c r="AH332" s="323"/>
      <c r="AI332" s="323" t="str">
        <f>'LCA data'!$B$32</f>
        <v>Isolering</v>
      </c>
      <c r="AJ332" s="323">
        <f t="shared" si="23"/>
        <v>0</v>
      </c>
      <c r="AK332" s="323">
        <f t="shared" si="23"/>
        <v>18848.914285714287</v>
      </c>
      <c r="AL332" s="323" t="str">
        <f>IFERROR(AJ332+VLOOKUP(B332&amp;"_"&amp;J332,'LCA data'!$B$7:$X$238,2,FALSE),"")</f>
        <v/>
      </c>
      <c r="AM332" s="323" t="str">
        <f>IFERROR(IF(M332-1&gt;0,VLOOKUP(B332&amp;"_"&amp;J332,'LCA data'!$B$7:$X$200,19,FALSE)*(K332*10^3)*C332,""),"")</f>
        <v/>
      </c>
      <c r="AN332" s="323" t="str">
        <f>IFERROR(AL332+VLOOKUP(B332&amp;"_"&amp;J332,'LCA data'!$B$7:$X$238,2,FALSE),"")</f>
        <v/>
      </c>
      <c r="AO332" s="323" t="str">
        <f>IFERROR(IF(M332-2&gt;0,VLOOKUP(B332&amp;"_"&amp;J332,'LCA data'!$B$7:$X$200,19,FALSE)*(K332*10^3)*C332,""),"")</f>
        <v/>
      </c>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323"/>
      <c r="BU332" s="323"/>
      <c r="BV332" s="323"/>
      <c r="BW332" s="323"/>
      <c r="BX332" s="323"/>
      <c r="BY332" s="323"/>
      <c r="BZ332" s="323"/>
      <c r="CA332" s="323"/>
      <c r="CB332" s="323"/>
      <c r="CC332" s="323"/>
      <c r="CD332" s="323"/>
      <c r="CE332" s="323"/>
      <c r="CF332" s="323"/>
      <c r="CG332" s="323"/>
      <c r="CH332" s="323"/>
      <c r="CI332" s="323"/>
      <c r="CJ332" s="323"/>
      <c r="CK332" s="323"/>
      <c r="CL332" s="323"/>
      <c r="CM332" s="323"/>
      <c r="CN332" s="323"/>
      <c r="CO332" s="323"/>
      <c r="CP332" s="431"/>
      <c r="CQ332" s="433"/>
      <c r="CR332" s="323"/>
      <c r="CS332" s="323"/>
      <c r="CT332" s="323"/>
      <c r="CU332" s="323"/>
      <c r="CV332" s="323"/>
      <c r="CW332" s="323"/>
      <c r="CX332" s="323"/>
      <c r="CY332" s="323"/>
      <c r="CZ332" s="323"/>
    </row>
    <row r="333" spans="2:222" ht="25.4" customHeight="1" x14ac:dyDescent="0.35">
      <c r="B333" s="242"/>
      <c r="S333" s="227"/>
      <c r="U333" s="251"/>
      <c r="V333" s="251"/>
      <c r="W333" s="323"/>
      <c r="X333" s="323"/>
      <c r="Y333" s="323"/>
      <c r="Z333" s="323"/>
      <c r="AA333" s="323"/>
      <c r="AB333" s="323"/>
      <c r="AC333" s="323"/>
      <c r="AD333" s="323"/>
      <c r="AE333" s="323"/>
      <c r="AF333" s="323"/>
      <c r="AG333" s="323"/>
      <c r="AH333" s="323"/>
      <c r="AI333" s="323" t="str">
        <f>'LCA data'!$B$201</f>
        <v>Skillevægskonstruktion</v>
      </c>
      <c r="AJ333" s="323">
        <f t="shared" si="23"/>
        <v>318468.55199999997</v>
      </c>
      <c r="AK333" s="323">
        <f t="shared" si="23"/>
        <v>97286.399999999994</v>
      </c>
      <c r="AL333" s="323" t="str">
        <f>IFERROR(#REF!+VLOOKUP(B333&amp;"_"&amp;J333,'LCA data'!$B$7:$X$238,2,FALSE),"")</f>
        <v/>
      </c>
      <c r="AM333" s="323" t="str">
        <f>IFERROR(IF(M333-1&gt;0,VLOOKUP(B333&amp;"_"&amp;J333,'LCA data'!$B$7:$X$200,19,FALSE)*(K333*10^3)*C333,""),"")</f>
        <v/>
      </c>
      <c r="AN333" s="323" t="str">
        <f>IFERROR(AL333+VLOOKUP(B333&amp;"_"&amp;J333,'LCA data'!$B$7:$X$238,2,FALSE),"")</f>
        <v/>
      </c>
      <c r="AO333" s="323" t="str">
        <f>IFERROR(IF(M333-2&gt;0,VLOOKUP(B333&amp;"_"&amp;J333,'LCA data'!$B$7:$X$200,19,FALSE)*(K333*10^3)*C333,""),"")</f>
        <v/>
      </c>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c r="BM333" s="323"/>
      <c r="BN333" s="323"/>
      <c r="BO333" s="323"/>
      <c r="BP333" s="323"/>
      <c r="BQ333" s="323"/>
      <c r="BR333" s="323"/>
      <c r="BS333" s="323"/>
      <c r="BT333" s="323"/>
      <c r="BU333" s="323"/>
      <c r="BV333" s="323"/>
      <c r="BW333" s="323"/>
      <c r="BX333" s="323"/>
      <c r="BY333" s="323"/>
      <c r="BZ333" s="323"/>
      <c r="CA333" s="323"/>
      <c r="CB333" s="323"/>
      <c r="CC333" s="323"/>
      <c r="CD333" s="323"/>
      <c r="CE333" s="323"/>
      <c r="CF333" s="323"/>
      <c r="CG333" s="323"/>
      <c r="CH333" s="323"/>
      <c r="CI333" s="323"/>
      <c r="CJ333" s="323"/>
      <c r="CK333" s="323"/>
      <c r="CL333" s="323"/>
      <c r="CM333" s="323"/>
      <c r="CN333" s="323"/>
      <c r="CO333" s="323"/>
      <c r="CP333" s="435"/>
      <c r="CQ333" s="433"/>
      <c r="CR333" s="323"/>
      <c r="CS333" s="323"/>
      <c r="CT333" s="323"/>
      <c r="CU333" s="323"/>
      <c r="CV333" s="323"/>
      <c r="CW333" s="323"/>
      <c r="CX333" s="323"/>
      <c r="CY333" s="323"/>
      <c r="CZ333" s="323"/>
    </row>
    <row r="334" spans="2:222" ht="25.4" customHeight="1" thickBot="1" x14ac:dyDescent="0.4">
      <c r="B334" s="242"/>
      <c r="S334" s="227"/>
      <c r="U334" s="251"/>
      <c r="V334" s="251"/>
      <c r="W334" s="323"/>
      <c r="X334" s="323"/>
      <c r="Y334" s="323"/>
      <c r="Z334" s="323"/>
      <c r="AA334" s="323" t="s">
        <v>744</v>
      </c>
      <c r="AB334" s="323"/>
      <c r="AC334" s="323"/>
      <c r="AD334" s="323"/>
      <c r="AE334" s="323"/>
      <c r="AF334" s="323"/>
      <c r="AG334" s="323"/>
      <c r="AH334" s="323"/>
      <c r="AI334" s="323" t="str">
        <f>'LCA data'!$B$65</f>
        <v>Indvendig beklædning</v>
      </c>
      <c r="AJ334" s="323">
        <f t="shared" si="23"/>
        <v>0</v>
      </c>
      <c r="AK334" s="323">
        <f t="shared" si="23"/>
        <v>102484.79999999999</v>
      </c>
      <c r="AL334" s="323" t="str">
        <f>IFERROR(#REF!+VLOOKUP(B334&amp;"_"&amp;J334,'LCA data'!$B$7:$X$238,2,FALSE),"")</f>
        <v/>
      </c>
      <c r="AM334" s="323" t="str">
        <f>IFERROR(IF(M334-1&gt;0,VLOOKUP(B334&amp;"_"&amp;J334,'LCA data'!$B$7:$X$200,19,FALSE)*(K334*10^3)*C334,""),"")</f>
        <v/>
      </c>
      <c r="AN334" s="323" t="str">
        <f>IFERROR(AL334+VLOOKUP(B334&amp;"_"&amp;J334,'LCA data'!$B$7:$X$238,2,FALSE),"")</f>
        <v/>
      </c>
      <c r="AO334" s="323" t="str">
        <f>IFERROR(IF(M334-2&gt;0,VLOOKUP(B334&amp;"_"&amp;J334,'LCA data'!$B$7:$X$200,19,FALSE)*(K334*10^3)*C334,""),"")</f>
        <v/>
      </c>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323"/>
      <c r="BU334" s="323"/>
      <c r="BV334" s="323"/>
      <c r="BW334" s="323"/>
      <c r="BX334" s="323"/>
      <c r="BY334" s="323"/>
      <c r="BZ334" s="323"/>
      <c r="CA334" s="323"/>
      <c r="CB334" s="323"/>
      <c r="CC334" s="323"/>
      <c r="CD334" s="323"/>
      <c r="CE334" s="323"/>
      <c r="CF334" s="323"/>
      <c r="CG334" s="323"/>
      <c r="CH334" s="323"/>
      <c r="CI334" s="323"/>
      <c r="CJ334" s="323"/>
      <c r="CK334" s="323"/>
      <c r="CL334" s="323"/>
      <c r="CM334" s="323"/>
      <c r="CN334" s="323"/>
      <c r="CO334" s="323"/>
      <c r="CP334" s="443"/>
      <c r="CQ334" s="438"/>
      <c r="CR334" s="323"/>
      <c r="CS334" s="323"/>
      <c r="CT334" s="323"/>
      <c r="CU334" s="323"/>
      <c r="CV334" s="323"/>
      <c r="CW334" s="323"/>
      <c r="CX334" s="323"/>
      <c r="CY334" s="323"/>
      <c r="CZ334" s="323"/>
    </row>
    <row r="335" spans="2:222" ht="25.4" customHeight="1" x14ac:dyDescent="0.35">
      <c r="B335" s="242"/>
      <c r="S335" s="227"/>
      <c r="U335" s="251"/>
      <c r="V335" s="251"/>
      <c r="W335" s="323"/>
      <c r="X335" s="323"/>
      <c r="Y335" s="323"/>
      <c r="Z335" s="323"/>
      <c r="AA335" s="323"/>
      <c r="AB335" s="323" t="s">
        <v>745</v>
      </c>
      <c r="AC335" s="323"/>
      <c r="AD335" s="323"/>
      <c r="AE335" s="323"/>
      <c r="AF335" s="323"/>
      <c r="AG335" s="323"/>
      <c r="AH335" s="323"/>
      <c r="AI335" s="323" t="s">
        <v>743</v>
      </c>
      <c r="AJ335" s="323">
        <f>SUM(AJ331:AJ334)</f>
        <v>318468.55199999997</v>
      </c>
      <c r="AK335" s="323">
        <f>SUM(AK331:AK334)</f>
        <v>321104.91428571427</v>
      </c>
      <c r="AL335" s="323" t="str">
        <f>IFERROR(#REF!+VLOOKUP(B335&amp;"_"&amp;J335,'LCA data'!$B$7:$X$238,2,FALSE),"")</f>
        <v/>
      </c>
      <c r="AM335" s="323" t="str">
        <f>IFERROR(IF(M335-1&gt;0,VLOOKUP(B335&amp;"_"&amp;J335,'LCA data'!$B$7:$X$200,19,FALSE)*(K335*10^3)*C335,""),"")</f>
        <v/>
      </c>
      <c r="AN335" s="323" t="str">
        <f>IFERROR(AL335+VLOOKUP(B335&amp;"_"&amp;J335,'LCA data'!$B$7:$X$238,2,FALSE),"")</f>
        <v/>
      </c>
      <c r="AO335" s="323" t="str">
        <f>IFERROR(IF(M335-2&gt;0,VLOOKUP(B335&amp;"_"&amp;J335,'LCA data'!$B$7:$X$200,19,FALSE)*(K335*10^3)*C335,""),"")</f>
        <v/>
      </c>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c r="BN335" s="323"/>
      <c r="BO335" s="323"/>
      <c r="BP335" s="323"/>
      <c r="BQ335" s="323"/>
      <c r="BR335" s="323"/>
      <c r="BS335" s="323"/>
      <c r="BT335" s="323"/>
      <c r="BU335" s="323"/>
      <c r="BV335" s="323"/>
      <c r="BW335" s="323"/>
      <c r="BX335" s="323"/>
      <c r="BY335" s="323"/>
      <c r="BZ335" s="323"/>
      <c r="CA335" s="323"/>
      <c r="CB335" s="323"/>
      <c r="CC335" s="323"/>
      <c r="CD335" s="323"/>
      <c r="CE335" s="323"/>
      <c r="CF335" s="323"/>
      <c r="CG335" s="323"/>
      <c r="CH335" s="323"/>
      <c r="CI335" s="323"/>
      <c r="CJ335" s="323"/>
      <c r="CK335" s="323"/>
      <c r="CL335" s="323"/>
      <c r="CM335" s="323"/>
      <c r="CN335" s="323"/>
      <c r="CO335" s="323"/>
      <c r="CP335" s="444"/>
      <c r="CQ335" s="428"/>
      <c r="CR335" s="323"/>
      <c r="CS335" s="323"/>
      <c r="CT335" s="323"/>
      <c r="CU335" s="323"/>
      <c r="CV335" s="323"/>
      <c r="CW335" s="323"/>
      <c r="CX335" s="323"/>
      <c r="CY335" s="323"/>
      <c r="CZ335" s="323"/>
    </row>
    <row r="336" spans="2:222" ht="25.4" customHeight="1" x14ac:dyDescent="0.35">
      <c r="B336" s="242"/>
      <c r="S336" s="227"/>
      <c r="U336" s="251"/>
      <c r="V336" s="251"/>
      <c r="W336" s="323"/>
      <c r="X336" s="323"/>
      <c r="Y336" s="323"/>
      <c r="Z336" s="323"/>
      <c r="AA336" s="323" t="s">
        <v>4</v>
      </c>
      <c r="AB336" s="323">
        <f>AJ345</f>
        <v>318468.55199999997</v>
      </c>
      <c r="AC336" s="323"/>
      <c r="AD336" s="323"/>
      <c r="AE336" s="323"/>
      <c r="AF336" s="323"/>
      <c r="AG336" s="323"/>
      <c r="AH336" s="323"/>
      <c r="AI336" s="323"/>
      <c r="AJ336" s="323"/>
      <c r="AK336" s="323"/>
      <c r="AL336" s="323" t="str">
        <f>IFERROR(#REF!+VLOOKUP(B336&amp;"_"&amp;J336,'LCA data'!$B$7:$X$238,2,FALSE),"")</f>
        <v/>
      </c>
      <c r="AM336" s="323" t="str">
        <f>IFERROR(IF(M336-1&gt;0,VLOOKUP(B336&amp;"_"&amp;J336,'LCA data'!$B$7:$X$200,19,FALSE)*(K336*10^3)*C336,""),"")</f>
        <v/>
      </c>
      <c r="AN336" s="323" t="s">
        <v>864</v>
      </c>
      <c r="AO336" s="323" t="s">
        <v>4</v>
      </c>
      <c r="AP336" s="323">
        <f>AN342+AN352+AN362+AN372+AN382</f>
        <v>-133.86257639999999</v>
      </c>
      <c r="AQ336" s="323"/>
      <c r="AR336" s="323" t="s">
        <v>866</v>
      </c>
      <c r="AS336" s="323" t="s">
        <v>4</v>
      </c>
      <c r="AT336" s="323">
        <f>AR342+AR352+AR362+AR372+AR382</f>
        <v>0</v>
      </c>
      <c r="AU336" s="323"/>
      <c r="AV336" s="323"/>
      <c r="AW336" s="323"/>
      <c r="AX336" s="323"/>
      <c r="AY336" s="323"/>
      <c r="AZ336" s="323"/>
      <c r="BA336" s="323"/>
      <c r="BB336" s="323"/>
      <c r="BC336" s="323"/>
      <c r="BD336" s="323"/>
      <c r="BE336" s="323"/>
      <c r="BF336" s="323"/>
      <c r="BG336" s="323"/>
      <c r="BH336" s="323"/>
      <c r="BI336" s="323"/>
      <c r="BJ336" s="323"/>
      <c r="BK336" s="323"/>
      <c r="BL336" s="323"/>
      <c r="BM336" s="323"/>
      <c r="BN336" s="323"/>
      <c r="BO336" s="323"/>
      <c r="BP336" s="323"/>
      <c r="BQ336" s="323"/>
      <c r="BR336" s="323"/>
      <c r="BS336" s="323"/>
      <c r="BT336" s="323"/>
      <c r="BU336" s="323"/>
      <c r="BV336" s="323"/>
      <c r="BW336" s="323"/>
      <c r="BX336" s="323"/>
      <c r="BY336" s="323"/>
      <c r="BZ336" s="323"/>
      <c r="CA336" s="323"/>
      <c r="CB336" s="323"/>
      <c r="CC336" s="323"/>
      <c r="CD336" s="323"/>
      <c r="CE336" s="323"/>
      <c r="CF336" s="323"/>
      <c r="CG336" s="323"/>
      <c r="CH336" s="323"/>
      <c r="CI336" s="323"/>
      <c r="CJ336" s="323"/>
      <c r="CK336" s="323"/>
      <c r="CL336" s="323"/>
      <c r="CM336" s="323"/>
      <c r="CN336" s="323"/>
      <c r="CO336" s="323"/>
      <c r="CP336" s="428"/>
      <c r="CQ336" s="428"/>
      <c r="CR336" s="323"/>
      <c r="CS336" s="323"/>
      <c r="CT336" s="323"/>
      <c r="CU336" s="323"/>
      <c r="CV336" s="323"/>
      <c r="CW336" s="323"/>
      <c r="CX336" s="323"/>
      <c r="CY336" s="323"/>
      <c r="CZ336" s="323"/>
    </row>
    <row r="337" spans="2:222" ht="25.4" customHeight="1" x14ac:dyDescent="0.35">
      <c r="B337" s="242"/>
      <c r="S337" s="227"/>
      <c r="U337" s="251"/>
      <c r="V337" s="251"/>
      <c r="W337" s="323"/>
      <c r="X337" s="323"/>
      <c r="Y337" s="323"/>
      <c r="Z337" s="323"/>
      <c r="AA337" s="323" t="s">
        <v>5</v>
      </c>
      <c r="AB337" s="323">
        <f>AK345</f>
        <v>321104.91428571427</v>
      </c>
      <c r="AC337" s="323"/>
      <c r="AD337" s="323"/>
      <c r="AE337" s="323"/>
      <c r="AF337" s="323"/>
      <c r="AG337" s="323"/>
      <c r="AH337" s="323"/>
      <c r="AI337" s="323"/>
      <c r="AJ337" s="323"/>
      <c r="AK337" s="323"/>
      <c r="AL337" s="323" t="str">
        <f>IFERROR(#REF!+VLOOKUP(B337&amp;"_"&amp;J337,'LCA data'!$B$7:$X$238,2,FALSE),"")</f>
        <v/>
      </c>
      <c r="AM337" s="323" t="str">
        <f>IFERROR(IF(M337-1&gt;0,VLOOKUP(B337&amp;"_"&amp;J337,'LCA data'!$B$7:$X$200,19,FALSE)*(K337*10^3)*C337,""),"")</f>
        <v/>
      </c>
      <c r="AN337" s="323" t="s">
        <v>865</v>
      </c>
      <c r="AO337" s="323" t="s">
        <v>5</v>
      </c>
      <c r="AP337" s="323"/>
      <c r="AQ337" s="323">
        <f>AO342+AO352+AO362+AO372+AO382</f>
        <v>-2653.6326349473684</v>
      </c>
      <c r="AR337" s="323" t="s">
        <v>866</v>
      </c>
      <c r="AS337" s="323" t="s">
        <v>5</v>
      </c>
      <c r="AT337" s="323"/>
      <c r="AU337" s="323">
        <f>AS342+AS352+AS362+AS372+AS382</f>
        <v>3407.04</v>
      </c>
      <c r="AV337" s="323"/>
      <c r="AW337" s="323"/>
      <c r="AX337" s="323"/>
      <c r="AY337" s="323"/>
      <c r="AZ337" s="323"/>
      <c r="BA337" s="323"/>
      <c r="BB337" s="323"/>
      <c r="BC337" s="323"/>
      <c r="BD337" s="323"/>
      <c r="BE337" s="323"/>
      <c r="BF337" s="323"/>
      <c r="BG337" s="323"/>
      <c r="BH337" s="323"/>
      <c r="BI337" s="323"/>
      <c r="BJ337" s="323"/>
      <c r="BK337" s="323"/>
      <c r="BL337" s="323"/>
      <c r="BM337" s="323"/>
      <c r="BN337" s="323"/>
      <c r="BO337" s="323"/>
      <c r="BP337" s="323"/>
      <c r="BQ337" s="323"/>
      <c r="BR337" s="323"/>
      <c r="BS337" s="323"/>
      <c r="BT337" s="323"/>
      <c r="BU337" s="323"/>
      <c r="BV337" s="323"/>
      <c r="BW337" s="323"/>
      <c r="BX337" s="323"/>
      <c r="BY337" s="323"/>
      <c r="BZ337" s="323"/>
      <c r="CA337" s="323"/>
      <c r="CB337" s="323"/>
      <c r="CC337" s="323"/>
      <c r="CD337" s="323"/>
      <c r="CE337" s="323"/>
      <c r="CF337" s="323"/>
      <c r="CG337" s="323"/>
      <c r="CH337" s="323"/>
      <c r="CI337" s="323"/>
      <c r="CJ337" s="323"/>
      <c r="CK337" s="323"/>
      <c r="CL337" s="323"/>
      <c r="CM337" s="323"/>
      <c r="CN337" s="323"/>
      <c r="CO337" s="323"/>
      <c r="CP337" s="428"/>
      <c r="CQ337" s="441"/>
      <c r="CR337" s="323"/>
      <c r="CS337" s="323"/>
      <c r="CT337" s="323"/>
      <c r="CU337" s="323"/>
      <c r="CV337" s="323"/>
      <c r="CW337" s="323"/>
      <c r="CX337" s="323"/>
      <c r="CY337" s="323"/>
      <c r="CZ337" s="323"/>
    </row>
    <row r="338" spans="2:222" ht="55" customHeight="1" thickBot="1" x14ac:dyDescent="0.4">
      <c r="B338" s="408"/>
      <c r="C338" s="187"/>
      <c r="D338" s="187"/>
      <c r="E338" s="187"/>
      <c r="F338" s="187"/>
      <c r="G338" s="187"/>
      <c r="H338" s="187"/>
      <c r="I338" s="187"/>
      <c r="J338" s="187"/>
      <c r="K338" s="187"/>
      <c r="L338" s="187"/>
      <c r="M338" s="187"/>
      <c r="N338" s="187"/>
      <c r="O338" s="187"/>
      <c r="P338" s="187"/>
      <c r="Q338" s="187"/>
      <c r="R338" s="187"/>
      <c r="S338" s="387"/>
      <c r="U338" s="251"/>
      <c r="V338" s="251"/>
      <c r="W338" s="323"/>
      <c r="X338" s="323"/>
      <c r="Y338" s="323"/>
      <c r="Z338" s="323"/>
      <c r="AA338" s="323"/>
      <c r="AB338" s="323"/>
      <c r="AC338" s="323"/>
      <c r="AD338" s="323"/>
      <c r="AE338" s="323"/>
      <c r="AF338" s="323"/>
      <c r="AG338" s="323"/>
      <c r="AH338" s="323"/>
      <c r="AI338" s="323"/>
      <c r="AJ338" s="323"/>
      <c r="AK338" s="323"/>
      <c r="AL338" s="323" t="str">
        <f>IFERROR(#REF!+VLOOKUP(B338&amp;"_"&amp;J338,'LCA data'!$B$7:$X$238,2,FALSE),"")</f>
        <v/>
      </c>
      <c r="AM338" s="323" t="str">
        <f>IFERROR(IF(M338-1&gt;0,VLOOKUP(B338&amp;"_"&amp;J338,'LCA data'!$B$7:$X$200,19,FALSE)*(K338*10^3)*C338,""),"")</f>
        <v/>
      </c>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c r="BM338" s="323"/>
      <c r="BN338" s="323"/>
      <c r="BO338" s="323"/>
      <c r="BP338" s="323"/>
      <c r="BQ338" s="323"/>
      <c r="BR338" s="323"/>
      <c r="BS338" s="323"/>
      <c r="BT338" s="323"/>
      <c r="BU338" s="323"/>
      <c r="BV338" s="323"/>
      <c r="BW338" s="323"/>
      <c r="BX338" s="323"/>
      <c r="BY338" s="323"/>
      <c r="BZ338" s="323"/>
      <c r="CA338" s="323"/>
      <c r="CB338" s="323"/>
      <c r="CC338" s="323"/>
      <c r="CD338" s="323"/>
      <c r="CE338" s="323"/>
      <c r="CF338" s="323"/>
      <c r="CG338" s="323"/>
      <c r="CH338" s="323"/>
      <c r="CI338" s="323"/>
      <c r="CJ338" s="323"/>
      <c r="CK338" s="323"/>
      <c r="CL338" s="323"/>
      <c r="CM338" s="323"/>
      <c r="CN338" s="323"/>
      <c r="CO338" s="323"/>
      <c r="CP338" s="428"/>
      <c r="CQ338" s="441"/>
      <c r="CR338" s="323"/>
      <c r="CS338" s="323"/>
      <c r="CT338" s="323"/>
      <c r="CU338" s="323"/>
      <c r="CV338" s="323"/>
      <c r="CW338" s="323"/>
      <c r="CX338" s="323"/>
      <c r="CY338" s="323"/>
      <c r="CZ338" s="323"/>
    </row>
    <row r="339" spans="2:222" ht="13.4" customHeight="1" thickBot="1" x14ac:dyDescent="0.4">
      <c r="S339" s="217"/>
      <c r="U339" s="251"/>
      <c r="V339" s="251"/>
      <c r="W339" s="323"/>
      <c r="X339" s="323"/>
      <c r="Y339" s="323"/>
      <c r="Z339" s="323"/>
      <c r="AA339" s="323"/>
      <c r="AB339" s="323"/>
      <c r="AC339" s="323"/>
      <c r="AD339" s="323"/>
      <c r="AE339" s="323"/>
      <c r="AF339" s="323"/>
      <c r="AG339" s="323"/>
      <c r="AH339" s="323"/>
      <c r="AI339" s="323"/>
      <c r="AJ339" s="323"/>
      <c r="AK339" s="323"/>
      <c r="AL339" s="323" t="str">
        <f>IFERROR(AJ339+VLOOKUP(B339&amp;"_"&amp;J339,'LCA data'!$B$7:$X$238,2,FALSE),"")</f>
        <v/>
      </c>
      <c r="AM339" s="323" t="str">
        <f>IFERROR(IF(M339-1&gt;0,VLOOKUP(B339&amp;"_"&amp;J339,'LCA data'!$B$7:$X$200,19,FALSE)*(K339*10^3)*C339,""),"")</f>
        <v/>
      </c>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c r="BM339" s="323"/>
      <c r="BN339" s="323"/>
      <c r="BO339" s="323"/>
      <c r="BP339" s="323"/>
      <c r="BQ339" s="323"/>
      <c r="BR339" s="323"/>
      <c r="BS339" s="323"/>
      <c r="BT339" s="323"/>
      <c r="BU339" s="323"/>
      <c r="BV339" s="323"/>
      <c r="BW339" s="323"/>
      <c r="BX339" s="323"/>
      <c r="BY339" s="323"/>
      <c r="BZ339" s="323"/>
      <c r="CA339" s="323"/>
      <c r="CB339" s="323"/>
      <c r="CC339" s="323"/>
      <c r="CD339" s="323"/>
      <c r="CE339" s="323"/>
      <c r="CF339" s="323"/>
      <c r="CG339" s="323"/>
      <c r="CH339" s="323"/>
      <c r="CI339" s="323"/>
      <c r="CJ339" s="323"/>
      <c r="CK339" s="323"/>
      <c r="CL339" s="323"/>
      <c r="CM339" s="323"/>
      <c r="CN339" s="323"/>
      <c r="CO339" s="323"/>
      <c r="CP339" s="428"/>
      <c r="CQ339" s="441"/>
      <c r="CR339" s="323"/>
      <c r="CS339" s="323"/>
      <c r="CT339" s="323"/>
      <c r="CU339" s="323"/>
      <c r="CV339" s="323"/>
      <c r="CW339" s="323"/>
      <c r="CX339" s="323"/>
      <c r="CY339" s="323"/>
      <c r="CZ339" s="323"/>
    </row>
    <row r="340" spans="2:222" ht="29.25" customHeight="1" x14ac:dyDescent="0.7">
      <c r="B340" s="493" t="s">
        <v>112</v>
      </c>
      <c r="C340" s="499"/>
      <c r="D340" s="499"/>
      <c r="E340" s="506" t="s">
        <v>39</v>
      </c>
      <c r="F340" s="499"/>
      <c r="G340" s="499"/>
      <c r="H340" s="499"/>
      <c r="I340" s="500" t="str">
        <f>"Skillevægstype"&amp;" "&amp;1</f>
        <v>Skillevægstype 1</v>
      </c>
      <c r="J340" s="500"/>
      <c r="K340" s="499"/>
      <c r="L340" s="499"/>
      <c r="M340" s="499"/>
      <c r="N340" s="499"/>
      <c r="O340" s="499"/>
      <c r="P340" s="499"/>
      <c r="Q340" s="501"/>
      <c r="R340" s="409"/>
      <c r="S340" s="191"/>
      <c r="U340" s="251"/>
      <c r="V340" s="251"/>
      <c r="W340" s="323">
        <f>IF(E343=$C$72,1,0)</f>
        <v>0</v>
      </c>
      <c r="X340" s="323">
        <f>IF(J343=$C$72,1,0)</f>
        <v>0</v>
      </c>
      <c r="Y340" s="323"/>
      <c r="Z340" s="323"/>
      <c r="AA340" s="323"/>
      <c r="AB340" s="323"/>
      <c r="AC340" s="323"/>
      <c r="AD340" s="323"/>
      <c r="AE340" s="323"/>
      <c r="AF340" s="323"/>
      <c r="AG340" s="323"/>
      <c r="AH340" s="323"/>
      <c r="AI340" s="323"/>
      <c r="AJ340" s="323" t="s">
        <v>746</v>
      </c>
      <c r="AK340" s="323" t="s">
        <v>747</v>
      </c>
      <c r="AL340" s="323" t="str">
        <f>IFERROR(#REF!+VLOOKUP(E340&amp;"_"&amp;J340,'LCA data'!$B$7:$X$238,2,FALSE),"")</f>
        <v/>
      </c>
      <c r="AM340" s="323" t="str">
        <f>IFERROR(IF(M340-1&gt;0,VLOOKUP(E340&amp;"_"&amp;J340,'LCA data'!$B$7:$X$200,19,FALSE)*(K340*10^3)*C340,""),"")</f>
        <v/>
      </c>
      <c r="AN340" s="323" t="s">
        <v>846</v>
      </c>
      <c r="AO340" s="323"/>
      <c r="AP340" s="323"/>
      <c r="AQ340" s="323"/>
      <c r="AR340" s="323" t="s">
        <v>851</v>
      </c>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c r="BM340" s="323"/>
      <c r="BN340" s="323"/>
      <c r="BO340" s="323"/>
      <c r="BP340" s="323"/>
      <c r="BQ340" s="323"/>
      <c r="BR340" s="323"/>
      <c r="BS340" s="323"/>
      <c r="BT340" s="323"/>
      <c r="BU340" s="323"/>
      <c r="BV340" s="323"/>
      <c r="BW340" s="323"/>
      <c r="BX340" s="323"/>
      <c r="BY340" s="323"/>
      <c r="BZ340" s="323"/>
      <c r="CA340" s="323"/>
      <c r="CB340" s="323"/>
      <c r="CC340" s="323"/>
      <c r="CD340" s="323"/>
      <c r="CE340" s="323"/>
      <c r="CF340" s="323"/>
      <c r="CG340" s="323"/>
      <c r="CH340" s="323"/>
      <c r="CI340" s="323"/>
      <c r="CJ340" s="323"/>
      <c r="CK340" s="323"/>
      <c r="CL340" s="323"/>
      <c r="CM340" s="323"/>
      <c r="CN340" s="323"/>
      <c r="CO340" s="323"/>
      <c r="CP340" s="428"/>
      <c r="CQ340" s="441"/>
      <c r="CR340" s="323"/>
      <c r="CS340" s="323"/>
      <c r="CT340" s="323"/>
      <c r="CU340" s="323"/>
      <c r="CV340" s="323"/>
      <c r="CW340" s="323"/>
      <c r="CX340" s="323"/>
      <c r="CY340" s="323"/>
      <c r="CZ340" s="323"/>
    </row>
    <row r="341" spans="2:222" ht="40.4" customHeight="1" x14ac:dyDescent="0.35">
      <c r="B341" s="359" t="s">
        <v>78</v>
      </c>
      <c r="C341" s="360"/>
      <c r="D341" s="910" t="str">
        <f>IF(E343=$C$72,"Scenarie 1: Din Opbygning","Scenarie 1: "&amp;X31)</f>
        <v>Scenarie 1: Tung Konventionel</v>
      </c>
      <c r="E341" s="911"/>
      <c r="F341" s="911"/>
      <c r="G341" s="911"/>
      <c r="H341" s="912"/>
      <c r="I341" s="885" t="str">
        <f>IF(J343=$C$72,"Scenarie 2: Din Opbygning","Scenarie 2: "&amp;Y31)</f>
        <v>Scenarie 2: Let Lav Emission</v>
      </c>
      <c r="J341" s="886"/>
      <c r="K341" s="886"/>
      <c r="L341" s="886"/>
      <c r="M341" s="887"/>
      <c r="N341" s="877" t="s">
        <v>79</v>
      </c>
      <c r="O341" s="877"/>
      <c r="P341" s="877"/>
      <c r="Q341" s="877"/>
      <c r="R341" s="192"/>
      <c r="S341" s="193"/>
      <c r="T341" s="175"/>
      <c r="U341" s="251"/>
      <c r="V341" s="251"/>
      <c r="W341" s="323"/>
      <c r="X341" s="323"/>
      <c r="Y341" s="323"/>
      <c r="Z341" s="323"/>
      <c r="AA341" s="323"/>
      <c r="AB341" s="323"/>
      <c r="AC341" s="323"/>
      <c r="AD341" s="323"/>
      <c r="AE341" s="323"/>
      <c r="AF341" s="323"/>
      <c r="AG341" s="323"/>
      <c r="AH341" s="323"/>
      <c r="AI341" s="323" t="str">
        <f>'LCA data'!$B$65</f>
        <v>Indvendig beklædning</v>
      </c>
      <c r="AJ341" s="323">
        <f>(VLOOKUP(E344,Pris.indvendig.beklædning[],2,0))*C344</f>
        <v>0</v>
      </c>
      <c r="AK341" s="323">
        <f>(VLOOKUP(J344,Pris.indvendig.beklædning[],2,0))*C344</f>
        <v>102484.79999999999</v>
      </c>
      <c r="AL341" s="323" t="str">
        <f>IFERROR(#REF!+VLOOKUP(B341&amp;"_"&amp;I341,'LCA data'!$B$7:$X$238,2,FALSE),"")</f>
        <v/>
      </c>
      <c r="AM341" s="323" t="str">
        <f>IFERROR(IF(M341-1&gt;0,VLOOKUP(B341&amp;"_"&amp;I341,'LCA data'!$B$7:$X$200,19,FALSE)*(K341*10^3)*C341,""),"")</f>
        <v/>
      </c>
      <c r="AN341" s="323" t="s">
        <v>4</v>
      </c>
      <c r="AO341" s="323" t="s">
        <v>5</v>
      </c>
      <c r="AP341" s="323"/>
      <c r="AQ341" s="323"/>
      <c r="AR341" s="323" t="s">
        <v>4</v>
      </c>
      <c r="AS341" s="323" t="s">
        <v>5</v>
      </c>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c r="BN341" s="323"/>
      <c r="BO341" s="323"/>
      <c r="BP341" s="323"/>
      <c r="BQ341" s="323"/>
      <c r="BR341" s="323"/>
      <c r="BS341" s="323"/>
      <c r="BT341" s="323"/>
      <c r="BU341" s="323"/>
      <c r="BV341" s="323"/>
      <c r="BW341" s="323"/>
      <c r="BX341" s="323"/>
      <c r="BY341" s="323"/>
      <c r="BZ341" s="323"/>
      <c r="CA341" s="323"/>
      <c r="CB341" s="323"/>
      <c r="CC341" s="323"/>
      <c r="CD341" s="323"/>
      <c r="CE341" s="323"/>
      <c r="CF341" s="323"/>
      <c r="CG341" s="323"/>
      <c r="CH341" s="323"/>
      <c r="CI341" s="323"/>
      <c r="CJ341" s="323"/>
      <c r="CK341" s="323"/>
      <c r="CL341" s="323"/>
      <c r="CM341" s="323"/>
      <c r="CN341" s="323"/>
      <c r="CO341" s="323"/>
      <c r="CP341" s="428"/>
      <c r="CQ341" s="441"/>
      <c r="CR341" s="323"/>
      <c r="CS341" s="323"/>
      <c r="CT341" s="323"/>
      <c r="CU341" s="323"/>
      <c r="CV341" s="323"/>
      <c r="CW341" s="323"/>
      <c r="CX341" s="323"/>
      <c r="CY341" s="323"/>
      <c r="CZ341" s="323"/>
    </row>
    <row r="342" spans="2:222" ht="44.5" customHeight="1" x14ac:dyDescent="0.35">
      <c r="B342" s="194"/>
      <c r="C342" s="195" t="s">
        <v>80</v>
      </c>
      <c r="D342" s="920" t="s">
        <v>81</v>
      </c>
      <c r="E342" s="921"/>
      <c r="F342" s="338" t="s">
        <v>82</v>
      </c>
      <c r="G342" s="338"/>
      <c r="H342" s="346" t="s">
        <v>84</v>
      </c>
      <c r="I342" s="891" t="s">
        <v>81</v>
      </c>
      <c r="J342" s="892"/>
      <c r="K342" s="479" t="s">
        <v>82</v>
      </c>
      <c r="L342" s="479"/>
      <c r="M342" s="508" t="s">
        <v>84</v>
      </c>
      <c r="N342" s="195" t="s">
        <v>4</v>
      </c>
      <c r="O342" s="195" t="s">
        <v>85</v>
      </c>
      <c r="P342" s="195" t="s">
        <v>5</v>
      </c>
      <c r="Q342" s="195" t="s">
        <v>86</v>
      </c>
      <c r="R342" s="192"/>
      <c r="S342" s="196"/>
      <c r="U342" s="251"/>
      <c r="V342" s="251"/>
      <c r="W342" s="323" t="s">
        <v>87</v>
      </c>
      <c r="X342" s="323" t="s">
        <v>88</v>
      </c>
      <c r="Y342" s="323"/>
      <c r="Z342" s="323"/>
      <c r="AA342" s="323" t="s">
        <v>91</v>
      </c>
      <c r="AB342" s="323"/>
      <c r="AC342" s="323"/>
      <c r="AD342" s="323"/>
      <c r="AE342" s="323" t="s">
        <v>92</v>
      </c>
      <c r="AF342" s="323"/>
      <c r="AG342" s="323"/>
      <c r="AH342" s="323"/>
      <c r="AI342" s="323" t="str">
        <f>'LCA data'!$B$32</f>
        <v>Isolering</v>
      </c>
      <c r="AJ342" s="323">
        <f>VLOOKUP(E345,Pris.isolering[],2,0)*F345*C345</f>
        <v>0</v>
      </c>
      <c r="AK342" s="323">
        <f>VLOOKUP(J345,Pris.isolering[],2,0)*K345*C345</f>
        <v>18848.914285714287</v>
      </c>
      <c r="AL342" s="323" t="str">
        <f>IFERROR(#REF!+VLOOKUP(B342&amp;"_"&amp;J342,'LCA data'!$B$7:$X$238,2,FALSE),"")</f>
        <v/>
      </c>
      <c r="AM342" s="323" t="str">
        <f>IFERROR(IF(M342-1&gt;0,VLOOKUP(B342&amp;"_"&amp;J342,'LCA data'!$B$7:$X$200,19,FALSE)*(K342*10^3)*C342,""),"")</f>
        <v/>
      </c>
      <c r="AN342" s="323">
        <f>SUM(AN344:AN348)</f>
        <v>-133.86257639999999</v>
      </c>
      <c r="AO342" s="323">
        <f>SUM(AO344:AO348)</f>
        <v>-2653.6326349473684</v>
      </c>
      <c r="AP342" s="323"/>
      <c r="AQ342" s="323"/>
      <c r="AR342" s="323">
        <f>SUM(AR344:AR347)</f>
        <v>0</v>
      </c>
      <c r="AS342" s="323">
        <f>SUM(AS344:AS347)</f>
        <v>3407.04</v>
      </c>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c r="BN342" s="323"/>
      <c r="BO342" s="323"/>
      <c r="BP342" s="323"/>
      <c r="BQ342" s="323"/>
      <c r="BR342" s="323"/>
      <c r="BS342" s="323"/>
      <c r="BT342" s="323"/>
      <c r="BU342" s="323"/>
      <c r="BV342" s="323"/>
      <c r="BW342" s="323"/>
      <c r="BX342" s="323"/>
      <c r="BY342" s="323"/>
      <c r="BZ342" s="323"/>
      <c r="CA342" s="323"/>
      <c r="CB342" s="323"/>
      <c r="CC342" s="323"/>
      <c r="CD342" s="323"/>
      <c r="CE342" s="323"/>
      <c r="CF342" s="323"/>
      <c r="CG342" s="323"/>
      <c r="CH342" s="323"/>
      <c r="CI342" s="323"/>
      <c r="CJ342" s="323"/>
      <c r="CK342" s="323"/>
      <c r="CL342" s="323"/>
      <c r="CM342" s="323"/>
      <c r="CN342" s="323"/>
      <c r="CO342" s="323"/>
      <c r="CP342" s="428"/>
      <c r="CQ342" s="441"/>
      <c r="CR342" s="323"/>
      <c r="CS342" s="323"/>
      <c r="CT342" s="323"/>
      <c r="CU342" s="323"/>
      <c r="CV342" s="323"/>
      <c r="CW342" s="323"/>
      <c r="CX342" s="323"/>
      <c r="CY342" s="323"/>
      <c r="CZ342" s="323"/>
    </row>
    <row r="343" spans="2:222" s="198" customFormat="1" ht="26" customHeight="1" x14ac:dyDescent="0.35">
      <c r="B343" s="199"/>
      <c r="C343" s="200" t="s">
        <v>93</v>
      </c>
      <c r="D343" s="361" t="s">
        <v>828</v>
      </c>
      <c r="E343" s="362" t="str">
        <f>$C$32</f>
        <v>Benyt Standard</v>
      </c>
      <c r="F343" s="347" t="s">
        <v>94</v>
      </c>
      <c r="G343" s="348"/>
      <c r="H343" s="349" t="s">
        <v>96</v>
      </c>
      <c r="I343" s="480" t="s">
        <v>828</v>
      </c>
      <c r="J343" s="362" t="str">
        <f>$E$32</f>
        <v>Benyt Standard</v>
      </c>
      <c r="K343" s="510" t="s">
        <v>94</v>
      </c>
      <c r="L343" s="511"/>
      <c r="M343" s="512" t="s">
        <v>96</v>
      </c>
      <c r="N343" s="201" t="s">
        <v>97</v>
      </c>
      <c r="O343" s="201" t="s">
        <v>97</v>
      </c>
      <c r="P343" s="201" t="s">
        <v>97</v>
      </c>
      <c r="Q343" s="201" t="s">
        <v>97</v>
      </c>
      <c r="R343" s="202"/>
      <c r="S343" s="203"/>
      <c r="T343" s="204"/>
      <c r="U343" s="325"/>
      <c r="V343" s="325"/>
      <c r="W343" s="323">
        <f>SUM(W344:W348)</f>
        <v>18882.618803999998</v>
      </c>
      <c r="X343" s="323">
        <f>SUM(X344:X348)</f>
        <v>1016.595906568421</v>
      </c>
      <c r="Y343" s="323"/>
      <c r="Z343" s="323"/>
      <c r="AA343" s="323"/>
      <c r="AB343" s="323" t="s">
        <v>111</v>
      </c>
      <c r="AC343" s="323"/>
      <c r="AD343" s="323" t="s">
        <v>99</v>
      </c>
      <c r="AE343" s="323" t="s">
        <v>100</v>
      </c>
      <c r="AF343" s="323"/>
      <c r="AG343" s="323"/>
      <c r="AH343" s="323"/>
      <c r="AI343" s="323" t="str">
        <f>'LCA data'!$B$201</f>
        <v>Skillevægskonstruktion</v>
      </c>
      <c r="AJ343" s="323">
        <f>VLOOKUP(E346,Pris.væg.konstruktion[],2,0)*C346</f>
        <v>318468.55199999997</v>
      </c>
      <c r="AK343" s="323">
        <f>VLOOKUP(J346,Pris.væg.konstruktion[],2,0)*C346</f>
        <v>97286.399999999994</v>
      </c>
      <c r="AL343" s="323" t="str">
        <f>IFERROR(#REF!+VLOOKUP(B343&amp;"_"&amp;J343,'LCA data'!$B$7:$X$238,2,FALSE),"")</f>
        <v/>
      </c>
      <c r="AM343" s="323" t="str">
        <f>IFERROR(IF(M343-1&gt;0,VLOOKUP(B343&amp;"_"&amp;J343,'LCA data'!$B$7:$X$200,19,FALSE)*(K343*10^3)*C343,""),"")</f>
        <v/>
      </c>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c r="BL343" s="323"/>
      <c r="BM343" s="323"/>
      <c r="BN343" s="323"/>
      <c r="BO343" s="323"/>
      <c r="BP343" s="323"/>
      <c r="BQ343" s="323"/>
      <c r="BR343" s="323"/>
      <c r="BS343" s="323"/>
      <c r="BT343" s="323"/>
      <c r="BU343" s="323"/>
      <c r="BV343" s="323"/>
      <c r="BW343" s="323"/>
      <c r="BX343" s="323"/>
      <c r="BY343" s="323"/>
      <c r="BZ343" s="323"/>
      <c r="CA343" s="323"/>
      <c r="CB343" s="323"/>
      <c r="CC343" s="323"/>
      <c r="CD343" s="323"/>
      <c r="CE343" s="323"/>
      <c r="CF343" s="323"/>
      <c r="CG343" s="323"/>
      <c r="CH343" s="323"/>
      <c r="CI343" s="323"/>
      <c r="CJ343" s="323"/>
      <c r="CK343" s="323"/>
      <c r="CL343" s="323"/>
      <c r="CM343" s="323"/>
      <c r="CN343" s="323"/>
      <c r="CO343" s="323"/>
      <c r="CP343" s="428"/>
      <c r="CQ343" s="441"/>
      <c r="CR343" s="323"/>
      <c r="CS343" s="323"/>
      <c r="CT343" s="323"/>
      <c r="CU343" s="323"/>
      <c r="CV343" s="323"/>
      <c r="CW343" s="323"/>
      <c r="CX343" s="323"/>
      <c r="CY343" s="323"/>
      <c r="CZ343" s="323"/>
      <c r="DA343" s="325"/>
      <c r="DB343" s="325"/>
      <c r="DC343" s="325"/>
      <c r="DD343" s="325"/>
      <c r="DE343" s="325"/>
      <c r="DF343" s="325"/>
      <c r="DG343" s="325"/>
      <c r="DH343" s="325"/>
      <c r="DI343" s="325"/>
      <c r="DJ343" s="325"/>
      <c r="DK343" s="325"/>
      <c r="DL343" s="325"/>
      <c r="DM343" s="325"/>
      <c r="DN343" s="325"/>
      <c r="DO343" s="325"/>
      <c r="DP343" s="325"/>
      <c r="DQ343" s="325"/>
      <c r="DR343" s="325"/>
      <c r="DS343" s="325"/>
      <c r="DT343" s="325"/>
      <c r="DU343" s="325"/>
      <c r="DV343" s="325"/>
      <c r="DW343" s="325"/>
      <c r="DX343" s="325"/>
      <c r="DY343" s="325"/>
      <c r="DZ343" s="325"/>
      <c r="EA343" s="325"/>
      <c r="EB343" s="325"/>
      <c r="EC343" s="325"/>
      <c r="ED343" s="325"/>
      <c r="EE343" s="325"/>
      <c r="EF343" s="325"/>
      <c r="EG343" s="325"/>
      <c r="EH343" s="325"/>
      <c r="EI343" s="325"/>
      <c r="EJ343" s="325"/>
      <c r="EK343" s="325"/>
      <c r="EL343" s="325"/>
      <c r="EM343" s="325"/>
      <c r="EN343" s="325"/>
      <c r="EO343" s="325"/>
      <c r="EP343" s="325"/>
      <c r="EQ343" s="325"/>
      <c r="ER343" s="325"/>
      <c r="ES343" s="325"/>
      <c r="ET343" s="325"/>
      <c r="EU343" s="325"/>
      <c r="EV343" s="325"/>
      <c r="EW343" s="325"/>
      <c r="EX343" s="325"/>
      <c r="EY343" s="325"/>
      <c r="EZ343" s="325"/>
      <c r="FA343" s="325"/>
      <c r="FB343" s="325"/>
      <c r="FC343" s="325"/>
      <c r="FD343" s="325"/>
      <c r="FE343" s="325"/>
      <c r="FF343" s="325"/>
      <c r="FG343" s="325"/>
      <c r="FH343" s="325"/>
      <c r="FI343" s="325"/>
      <c r="FJ343" s="325"/>
      <c r="FK343" s="325"/>
      <c r="FL343" s="325"/>
      <c r="FM343" s="325"/>
      <c r="FN343" s="325"/>
      <c r="FO343" s="325"/>
      <c r="FP343" s="325"/>
      <c r="FQ343" s="325"/>
      <c r="FR343" s="325"/>
      <c r="FS343" s="325"/>
      <c r="FT343" s="325"/>
      <c r="FU343" s="325"/>
      <c r="FV343" s="325"/>
      <c r="FW343" s="325"/>
      <c r="FX343" s="325"/>
      <c r="FY343" s="325"/>
      <c r="FZ343" s="325"/>
      <c r="GA343" s="325"/>
      <c r="GB343" s="325"/>
      <c r="GC343" s="325"/>
      <c r="GD343" s="325"/>
      <c r="GE343" s="325"/>
      <c r="GF343" s="325"/>
      <c r="GG343" s="325"/>
      <c r="GH343" s="325"/>
      <c r="GI343" s="325"/>
      <c r="GJ343" s="325"/>
      <c r="GK343" s="325"/>
      <c r="GL343" s="325"/>
      <c r="GM343" s="325"/>
      <c r="GN343" s="325"/>
      <c r="GO343" s="325"/>
      <c r="GP343" s="325"/>
      <c r="GQ343" s="325"/>
      <c r="GR343" s="325"/>
      <c r="GS343" s="325"/>
      <c r="GT343" s="325"/>
      <c r="GU343" s="325"/>
      <c r="GV343" s="325"/>
      <c r="GW343" s="325"/>
      <c r="GX343" s="325"/>
      <c r="GY343" s="325"/>
      <c r="GZ343" s="325"/>
      <c r="HA343" s="325"/>
      <c r="HB343" s="325"/>
      <c r="HC343" s="325"/>
      <c r="HD343" s="325"/>
      <c r="HE343" s="325"/>
      <c r="HF343" s="325"/>
      <c r="HG343" s="325"/>
      <c r="HH343" s="325"/>
      <c r="HI343" s="325"/>
      <c r="HJ343" s="325"/>
      <c r="HK343" s="325"/>
      <c r="HL343" s="325"/>
      <c r="HM343" s="325"/>
      <c r="HN343" s="325"/>
    </row>
    <row r="344" spans="2:222" ht="40.4" customHeight="1" x14ac:dyDescent="0.35">
      <c r="B344" s="363" t="str">
        <f>'LCA data'!$B$65</f>
        <v>Indvendig beklædning</v>
      </c>
      <c r="C344" s="470">
        <f>IF($C$46-C354-C364-C374-C382&lt;0,0,$C$46-C354-C364-C374-C382)</f>
        <v>240</v>
      </c>
      <c r="D344" s="15" t="s">
        <v>303</v>
      </c>
      <c r="E344" s="342" t="str">
        <f>IF($E$343=$C$72,D344,VLOOKUP(B344,Auto_Skillevæg[],VLOOKUP($X$31,Type_Tung_Middel_Let[],2,0),0))</f>
        <v>Angiv ikke</v>
      </c>
      <c r="F344" s="476">
        <f>(VLOOKUP(E344,Pris.indvendig.beklædning[],4,0))/1000</f>
        <v>0</v>
      </c>
      <c r="G344" s="350"/>
      <c r="H344" s="351" t="str">
        <f>IFERROR(IF(VLOOKUP(B344&amp;"_"&amp;E344,'LCA data'!$B$7:$X$200,2,FALSE)&lt;$Y$24,1,0)+IF(VLOOKUP(B344&amp;"_"&amp;E344,'LCA data'!$B$7:$X$200,2,FALSE)*2&lt;$Y$24,1,0),"")</f>
        <v/>
      </c>
      <c r="I344" s="15" t="s">
        <v>103</v>
      </c>
      <c r="J344" s="342" t="str">
        <f>IF($J$343=$C$72,I344,VLOOKUP(B344,Auto_Skillevæg[],VLOOKUP($Y$31,Type_Tung_Middel_Let[],2,0),0))</f>
        <v>ler-/hampplade</v>
      </c>
      <c r="K344" s="527">
        <f>(VLOOKUP(J344,Pris.indvendig.beklædning[],4,0))/1000</f>
        <v>0.02</v>
      </c>
      <c r="L344" s="514"/>
      <c r="M344" s="515">
        <f>IFERROR(IF(VLOOKUP(B344&amp;"_"&amp;J344,'LCA data'!$B$7:$X$200,2,FALSE)&lt;$Y$24,1,0)+IF(VLOOKUP(B344&amp;"_"&amp;J344,'LCA data'!$B$7:$X$200,2,FALSE)*2&lt;$Y$24,1,0),"")</f>
        <v>0</v>
      </c>
      <c r="N344" s="364">
        <f>W344/1000</f>
        <v>0</v>
      </c>
      <c r="O344" s="880">
        <f>SUM(N344:N348)</f>
        <v>18.882618803999996</v>
      </c>
      <c r="P344" s="365">
        <f>X344/1000</f>
        <v>7.730625599999999E-2</v>
      </c>
      <c r="Q344" s="880">
        <f>SUM(P344:P348)</f>
        <v>1.0165959065684211</v>
      </c>
      <c r="R344" s="192"/>
      <c r="S344" s="196"/>
      <c r="U344" s="251"/>
      <c r="V344" s="251"/>
      <c r="W344" s="323">
        <f>IF(E344="Angiv ikke",0,((1+H344)*VLOOKUP(B344&amp;"_"&amp;E344,'LCA data'!$B$7:$X$360,19,FALSE)*(F344*10^3)*C344))</f>
        <v>0</v>
      </c>
      <c r="X344" s="323">
        <f>IF(J344="Angiv ikke",0,((1+M344)*VLOOKUP(B344&amp;"_"&amp;J344,'LCA data'!$B$7:$X$360,19,FALSE)*(K344*10^3)*C344))</f>
        <v>77.306255999999991</v>
      </c>
      <c r="Y344" s="323"/>
      <c r="Z344" s="323"/>
      <c r="AA344" s="323" t="s">
        <v>4</v>
      </c>
      <c r="AB344" s="323">
        <f>AF344/$J$21/$Y$24*1000</f>
        <v>0.94413094019999977</v>
      </c>
      <c r="AC344" s="323"/>
      <c r="AD344" s="323">
        <f>AB344+AC344</f>
        <v>0.94413094019999977</v>
      </c>
      <c r="AE344" s="323" t="s">
        <v>4</v>
      </c>
      <c r="AF344" s="323">
        <f>W343/1000</f>
        <v>18.882618803999996</v>
      </c>
      <c r="AG344" s="323"/>
      <c r="AH344" s="323"/>
      <c r="AI344" s="323" t="str">
        <f>'LCA data'!$B$65</f>
        <v>Indvendig beklædning</v>
      </c>
      <c r="AJ344" s="323">
        <f>(VLOOKUP(E347,Pris.indvendig.beklædning[],2,0))*C347</f>
        <v>0</v>
      </c>
      <c r="AK344" s="323">
        <f>(VLOOKUP(J347,Pris.indvendig.beklædning[],2,0))*C347</f>
        <v>102484.79999999999</v>
      </c>
      <c r="AL344" s="323" t="str">
        <f>IFERROR(#REF!+VLOOKUP(B344&amp;"_"&amp;J344,'LCA data'!$B$7:$X$238,2,FALSE),"")</f>
        <v/>
      </c>
      <c r="AM344" s="323" t="str">
        <f>IFERROR(IF(M344-1&gt;0,VLOOKUP(B344&amp;"_"&amp;J344,'LCA data'!$B$7:$X$200,19,FALSE)*(K344*10^3)*C344,""),"")</f>
        <v/>
      </c>
      <c r="AN344" s="323">
        <f>IF(E344="Angiv ikke",0,((1+H344)*VLOOKUP(B344&amp;"_"&amp;E344,'LCA data'!$B$7:$X$360,20,FALSE)*(F344*10^3)*C344))</f>
        <v>0</v>
      </c>
      <c r="AO344" s="323">
        <f>IF(J344="Angiv ikke",0,((1+M344)*VLOOKUP(B344&amp;"_"&amp;J344,'LCA data'!$B$7:$X$360,20,FALSE)*(K344*10^3)*C344))</f>
        <v>-14.100527999999999</v>
      </c>
      <c r="AP344" s="323"/>
      <c r="AQ344" s="323"/>
      <c r="AR344" s="323">
        <f>IF(E344="Angiv ikke",0,((1+H344)*VLOOKUP(B344&amp;"_"&amp;E344,'LCA data'!$B$7:$AA$360,26,FALSE)*(F344*10^3)*C344))</f>
        <v>0</v>
      </c>
      <c r="AS344" s="323">
        <f>IF(J344="Angiv ikke",0,((1+M344)*VLOOKUP(B344&amp;"_"&amp;J344,'LCA data'!$B$7:$AA$360,26,FALSE)*(K344*10^3)*C344))</f>
        <v>0</v>
      </c>
      <c r="AT344" s="323"/>
      <c r="AU344" s="323"/>
      <c r="AV344" s="323"/>
      <c r="AW344" s="323"/>
      <c r="AX344" s="323"/>
      <c r="AY344" s="323"/>
      <c r="AZ344" s="323"/>
      <c r="BA344" s="323"/>
      <c r="BB344" s="323"/>
      <c r="BC344" s="323"/>
      <c r="BD344" s="323"/>
      <c r="BE344" s="323"/>
      <c r="BF344" s="323"/>
      <c r="BG344" s="323"/>
      <c r="BH344" s="323"/>
      <c r="BI344" s="323"/>
      <c r="BJ344" s="323"/>
      <c r="BK344" s="323"/>
      <c r="BL344" s="323"/>
      <c r="BM344" s="323"/>
      <c r="BN344" s="323"/>
      <c r="BO344" s="323"/>
      <c r="BP344" s="323"/>
      <c r="BQ344" s="323"/>
      <c r="BR344" s="323"/>
      <c r="BS344" s="323"/>
      <c r="BT344" s="323"/>
      <c r="BU344" s="323"/>
      <c r="BV344" s="323"/>
      <c r="BW344" s="323"/>
      <c r="BX344" s="323"/>
      <c r="BY344" s="323"/>
      <c r="BZ344" s="323"/>
      <c r="CA344" s="323"/>
      <c r="CB344" s="323"/>
      <c r="CC344" s="323"/>
      <c r="CD344" s="323"/>
      <c r="CE344" s="323"/>
      <c r="CF344" s="323"/>
      <c r="CG344" s="323"/>
      <c r="CH344" s="323"/>
      <c r="CI344" s="323"/>
      <c r="CJ344" s="323"/>
      <c r="CK344" s="323"/>
      <c r="CL344" s="323"/>
      <c r="CM344" s="323"/>
      <c r="CN344" s="323"/>
      <c r="CO344" s="323"/>
      <c r="CP344" s="428"/>
      <c r="CQ344" s="441"/>
      <c r="CR344" s="323"/>
      <c r="CS344" s="323"/>
      <c r="CT344" s="323"/>
      <c r="CU344" s="323"/>
      <c r="CV344" s="323"/>
      <c r="CW344" s="323"/>
      <c r="CX344" s="323"/>
      <c r="CY344" s="323"/>
      <c r="CZ344" s="323"/>
    </row>
    <row r="345" spans="2:222" ht="40.4" customHeight="1" x14ac:dyDescent="0.35">
      <c r="B345" s="208" t="str">
        <f>'LCA data'!$B$32</f>
        <v>Isolering</v>
      </c>
      <c r="C345" s="465">
        <f>IF($C$46-C355-C365-C375-C385&lt;0,0,$C$46-C355-C365-C375-C385)</f>
        <v>240</v>
      </c>
      <c r="D345" s="168" t="s">
        <v>103</v>
      </c>
      <c r="E345" s="342" t="str">
        <f>IF($E$343=$C$72,D345,VLOOKUP(B345,Auto_Skillevæg[],VLOOKUP($X$31,Type_Tung_Middel_Let[],2,0),0))</f>
        <v>Angiv ikke</v>
      </c>
      <c r="F345" s="350">
        <f>IF(OR(E346="Stålskelet",E346="Træskelet"),0.1,0)</f>
        <v>0</v>
      </c>
      <c r="G345" s="353"/>
      <c r="H345" s="351" t="str">
        <f>IFERROR(IF(VLOOKUP(B345&amp;"_"&amp;E345,'LCA data'!$B$7:$X$200,2,FALSE)&lt;$Y$24,1,0)+IF(VLOOKUP(B345&amp;"_"&amp;E345,'LCA data'!$B$7:$X$200,2,FALSE)*2&lt;$Y$24,1,0),"")</f>
        <v/>
      </c>
      <c r="I345" s="168" t="s">
        <v>103</v>
      </c>
      <c r="J345" s="342" t="str">
        <f>IF($J$343=$C$72,I345,VLOOKUP(B345,Auto_Skillevæg[],VLOOKUP($Y$31,Type_Tung_Middel_Let[],2,0),0))</f>
        <v>Papiruld</v>
      </c>
      <c r="K345" s="514">
        <f>IF(OR(J346="Stålskelet",J346="Træskelet"),0.1,0)</f>
        <v>0.1</v>
      </c>
      <c r="L345" s="528"/>
      <c r="M345" s="515">
        <f>IFERROR(IF(VLOOKUP(B345&amp;"_"&amp;J345,'LCA data'!$B$7:$X$200,2,FALSE)&lt;$Y$24,1,0)+IF(VLOOKUP(B345&amp;"_"&amp;J345,'LCA data'!$B$7:$X$200,2,FALSE)*2&lt;$Y$24,1,0),"")</f>
        <v>0</v>
      </c>
      <c r="N345" s="206">
        <f>W345/1000</f>
        <v>0</v>
      </c>
      <c r="O345" s="878"/>
      <c r="P345" s="207">
        <f>X345/1000</f>
        <v>0.6170232000000001</v>
      </c>
      <c r="Q345" s="878"/>
      <c r="R345" s="192"/>
      <c r="S345" s="196"/>
      <c r="U345" s="251"/>
      <c r="V345" s="251"/>
      <c r="W345" s="323">
        <f>IF(E345="Angiv ikke",0,((1+H345)*VLOOKUP(B345&amp;"_"&amp;E345,'LCA data'!$B$7:$X$360,19,FALSE)*(F345*10^3)*C345))</f>
        <v>0</v>
      </c>
      <c r="X345" s="323">
        <f>IF(J345="Angiv ikke",0,((1+M345)*VLOOKUP(B345&amp;"_"&amp;J345,'LCA data'!$B$7:$X$360,19,FALSE)*(K345*10^3)*C345))</f>
        <v>617.02320000000009</v>
      </c>
      <c r="Y345" s="323"/>
      <c r="Z345" s="323"/>
      <c r="AA345" s="323" t="s">
        <v>5</v>
      </c>
      <c r="AB345" s="323">
        <f>AG345/$J$21/$Y$24*1000</f>
        <v>5.0829795328421044E-2</v>
      </c>
      <c r="AC345" s="323"/>
      <c r="AD345" s="323">
        <f>AB345+AC345</f>
        <v>5.0829795328421044E-2</v>
      </c>
      <c r="AE345" s="323" t="s">
        <v>5</v>
      </c>
      <c r="AF345" s="323"/>
      <c r="AG345" s="323">
        <f>X343/1000</f>
        <v>1.0165959065684209</v>
      </c>
      <c r="AH345" s="323"/>
      <c r="AI345" s="323" t="s">
        <v>743</v>
      </c>
      <c r="AJ345" s="323">
        <f>SUM(AJ341:AJ344)</f>
        <v>318468.55199999997</v>
      </c>
      <c r="AK345" s="323">
        <f>SUM(AK341:AK344)</f>
        <v>321104.91428571427</v>
      </c>
      <c r="AL345" s="323" t="str">
        <f>IFERROR(#REF!+VLOOKUP(B345&amp;"_"&amp;J345,'LCA data'!$B$7:$X$238,2,FALSE),"")</f>
        <v/>
      </c>
      <c r="AM345" s="323" t="str">
        <f>IFERROR(IF(M345-1&gt;0,VLOOKUP(B345&amp;"_"&amp;J345,'LCA data'!$B$7:$X$200,19,FALSE)*(K345*10^3)*C345,""),"")</f>
        <v/>
      </c>
      <c r="AN345" s="323">
        <f>IF(E345="Angiv ikke",0,((1+H345)*VLOOKUP(B345&amp;"_"&amp;E345,'LCA data'!$B$7:$X$360,20,FALSE)*(F345*10^3)*C345))</f>
        <v>0</v>
      </c>
      <c r="AO345" s="323">
        <f>IF(J345="Angiv ikke",0,((1+M345)*VLOOKUP(B345&amp;"_"&amp;J345,'LCA data'!$B$7:$X$360,20,FALSE)*(K345*10^3)*C345))</f>
        <v>-732.16</v>
      </c>
      <c r="AP345" s="323"/>
      <c r="AQ345" s="323"/>
      <c r="AR345" s="323">
        <f>IF(E345="Angiv ikke",0,((1+H345)*VLOOKUP(B345&amp;"_"&amp;E345,'LCA data'!$B$7:$AA$360,26,FALSE)*(F345*10^3)*C345))</f>
        <v>0</v>
      </c>
      <c r="AS345" s="323">
        <f>IF(J345="Angiv ikke",0,((1+M345)*VLOOKUP(B345&amp;"_"&amp;J345,'LCA data'!$B$7:$AA$360,26,FALSE)*(K345*10^3)*C345))</f>
        <v>1080</v>
      </c>
      <c r="AT345" s="323"/>
      <c r="AU345" s="323"/>
      <c r="AV345" s="323"/>
      <c r="AW345" s="323"/>
      <c r="AX345" s="323"/>
      <c r="AY345" s="323"/>
      <c r="AZ345" s="323"/>
      <c r="BA345" s="323"/>
      <c r="BB345" s="323"/>
      <c r="BC345" s="323"/>
      <c r="BD345" s="323"/>
      <c r="BE345" s="323"/>
      <c r="BF345" s="323"/>
      <c r="BG345" s="323"/>
      <c r="BH345" s="323"/>
      <c r="BI345" s="323"/>
      <c r="BJ345" s="323"/>
      <c r="BK345" s="323"/>
      <c r="BL345" s="323"/>
      <c r="BM345" s="323"/>
      <c r="BN345" s="323"/>
      <c r="BO345" s="323"/>
      <c r="BP345" s="323"/>
      <c r="BQ345" s="323"/>
      <c r="BR345" s="323"/>
      <c r="BS345" s="323"/>
      <c r="BT345" s="323"/>
      <c r="BU345" s="323"/>
      <c r="BV345" s="323"/>
      <c r="BW345" s="323"/>
      <c r="BX345" s="323"/>
      <c r="BY345" s="323"/>
      <c r="BZ345" s="323"/>
      <c r="CA345" s="323"/>
      <c r="CB345" s="323"/>
      <c r="CC345" s="323"/>
      <c r="CD345" s="323"/>
      <c r="CE345" s="323"/>
      <c r="CF345" s="323"/>
      <c r="CG345" s="323"/>
      <c r="CH345" s="323"/>
      <c r="CI345" s="323"/>
      <c r="CJ345" s="323"/>
      <c r="CK345" s="323"/>
      <c r="CL345" s="323"/>
      <c r="CM345" s="323"/>
      <c r="CN345" s="323"/>
      <c r="CO345" s="323"/>
      <c r="CP345" s="445"/>
      <c r="CQ345" s="441"/>
      <c r="CR345" s="323"/>
      <c r="CS345" s="323"/>
      <c r="CT345" s="323"/>
      <c r="CU345" s="323"/>
      <c r="CV345" s="323"/>
      <c r="CW345" s="323"/>
      <c r="CX345" s="323"/>
      <c r="CY345" s="323"/>
      <c r="CZ345" s="323"/>
    </row>
    <row r="346" spans="2:222" ht="40.4" customHeight="1" x14ac:dyDescent="0.35">
      <c r="B346" s="205" t="str">
        <f>'LCA data'!$B$201</f>
        <v>Skillevægskonstruktion</v>
      </c>
      <c r="C346" s="465">
        <f>IF($C$46-C356-C366-C376-C386&lt;0,0,$C$46-C356-C366-C376-C386)</f>
        <v>240</v>
      </c>
      <c r="D346" s="169" t="s">
        <v>103</v>
      </c>
      <c r="E346" s="342" t="str">
        <f>IF($E$343=$C$72,D346,VLOOKUP(B346,Auto_Skillevæg[],VLOOKUP($X$31,Type_Tung_Middel_Let[],2,0),0))</f>
        <v>Teglsten</v>
      </c>
      <c r="F346" s="352">
        <f>IF(OR(E346="Stålskelet",E346="Træskelet"),F345,(VLOOKUP(E346,Pris.Skillevægs.konstruktion[],4,0)/1000))</f>
        <v>0.108</v>
      </c>
      <c r="G346" s="350"/>
      <c r="H346" s="351">
        <f>IFERROR(IF(VLOOKUP(B346&amp;"_"&amp;E346,'LCA data'!$B$7:$X$360,2,FALSE)&lt;$Y$24,1,0)+IF(VLOOKUP(B346&amp;"_"&amp;E346,'LCA data'!$B$7:$X$360,2,FALSE)*2&lt;$Y$24,1,0),"")</f>
        <v>0</v>
      </c>
      <c r="I346" s="169" t="s">
        <v>103</v>
      </c>
      <c r="J346" s="342" t="str">
        <f>IF($J$343=$C$72,I346,VLOOKUP(B346,Auto_Skillevæg[],VLOOKUP($Y$31,Type_Tung_Middel_Let[],2,0),0))</f>
        <v>Træskelet</v>
      </c>
      <c r="K346" s="517">
        <f>IF(OR(J346="Stålskelet",J346="Træskelet"),K345,(VLOOKUP(J346,Pris.Skillevægs.konstruktion[],4,0)/1000))</f>
        <v>0.1</v>
      </c>
      <c r="L346" s="514"/>
      <c r="M346" s="515">
        <f>IFERROR(IF(VLOOKUP(B346&amp;"_"&amp;J346,'LCA data'!$B$7:$X$360,2,FALSE)&lt;$Y$24,1,0)+IF(VLOOKUP(B346&amp;"_"&amp;J346,'LCA data'!$B$7:$X$360,2,FALSE)*2&lt;$Y$24,1,0),"")</f>
        <v>0</v>
      </c>
      <c r="N346" s="206">
        <f>W346/1000</f>
        <v>18.882618803999996</v>
      </c>
      <c r="O346" s="878"/>
      <c r="P346" s="207">
        <f>X346/1000</f>
        <v>0.244960194568421</v>
      </c>
      <c r="Q346" s="878"/>
      <c r="R346" s="192"/>
      <c r="S346" s="196"/>
      <c r="U346" s="251"/>
      <c r="V346" s="251"/>
      <c r="W346" s="323">
        <f>IF(E346="Angiv ikke",0,((1+H346)*VLOOKUP(B346&amp;"_"&amp;E346,'LCA data'!$B$7:$X$360,19,FALSE)*(F346*10^3)*C346))</f>
        <v>18882.618803999998</v>
      </c>
      <c r="X346" s="323">
        <f>IF(J346="Angiv ikke",0,((1+M346)*VLOOKUP(B346&amp;"_"&amp;J346,'LCA data'!$B$7:$X$360,19,FALSE)*(K346*10^3)*C346))</f>
        <v>244.960194568421</v>
      </c>
      <c r="Y346" s="323"/>
      <c r="Z346" s="323"/>
      <c r="AA346" s="323"/>
      <c r="AB346" s="323"/>
      <c r="AC346" s="323"/>
      <c r="AD346" s="323"/>
      <c r="AE346" s="323"/>
      <c r="AF346" s="323"/>
      <c r="AG346" s="323"/>
      <c r="AH346" s="323"/>
      <c r="AI346" s="323"/>
      <c r="AJ346" s="323"/>
      <c r="AK346" s="323"/>
      <c r="AL346" s="323">
        <f>IFERROR(AJ346+VLOOKUP(B346&amp;"_"&amp;J346,'LCA data'!$B$7:$X$238,2,FALSE),"")</f>
        <v>100</v>
      </c>
      <c r="AM346" s="323" t="str">
        <f>IFERROR(IF(M346-1&gt;0,VLOOKUP(B346&amp;"_"&amp;J346,'LCA data'!$B$7:$X$200,19,FALSE)*(K346*10^3)*C346,""),"")</f>
        <v/>
      </c>
      <c r="AN346" s="323">
        <f>IF(E346="Angiv ikke",0,((1+H346)*VLOOKUP(B346&amp;"_"&amp;E346,'LCA data'!$B$7:$X$360,20,FALSE)*(F346*10^3)*C346))</f>
        <v>-133.86257639999999</v>
      </c>
      <c r="AO346" s="323">
        <f>IF(J346="Angiv ikke",0,((1+M346)*VLOOKUP(B346&amp;"_"&amp;J346,'LCA data'!$B$7:$X$360,20,FALSE)*(K346*10^3)*C346))</f>
        <v>-1893.2715789473682</v>
      </c>
      <c r="AP346" s="323"/>
      <c r="AQ346" s="323"/>
      <c r="AR346" s="323">
        <f>IF(E346="Angiv ikke",0,((1+H346)*VLOOKUP(B346&amp;"_"&amp;E346,'LCA data'!$B$7:$AA$360,26,FALSE)*(F346*10^3)*C346))</f>
        <v>0</v>
      </c>
      <c r="AS346" s="323">
        <f>IF(J346="Angiv ikke",0,((1+M346)*VLOOKUP(B346&amp;"_"&amp;J346,'LCA data'!$B$7:$AA$360,26,FALSE)*(K346*10^3)*C346))</f>
        <v>2327.04</v>
      </c>
      <c r="AT346" s="323"/>
      <c r="AU346" s="323"/>
      <c r="AV346" s="323"/>
      <c r="AW346" s="323"/>
      <c r="AX346" s="323"/>
      <c r="AY346" s="323"/>
      <c r="AZ346" s="323"/>
      <c r="BA346" s="323"/>
      <c r="BB346" s="323"/>
      <c r="BC346" s="323"/>
      <c r="BD346" s="323"/>
      <c r="BE346" s="323"/>
      <c r="BF346" s="323"/>
      <c r="BG346" s="323"/>
      <c r="BH346" s="323"/>
      <c r="BI346" s="323"/>
      <c r="BJ346" s="323"/>
      <c r="BK346" s="323"/>
      <c r="BL346" s="323"/>
      <c r="BM346" s="323"/>
      <c r="BN346" s="323"/>
      <c r="BO346" s="323"/>
      <c r="BP346" s="323"/>
      <c r="BQ346" s="323"/>
      <c r="BR346" s="323"/>
      <c r="BS346" s="323"/>
      <c r="BT346" s="323"/>
      <c r="BU346" s="323"/>
      <c r="BV346" s="323"/>
      <c r="BW346" s="323"/>
      <c r="BX346" s="323"/>
      <c r="BY346" s="323"/>
      <c r="BZ346" s="323"/>
      <c r="CA346" s="323"/>
      <c r="CB346" s="323"/>
      <c r="CC346" s="323"/>
      <c r="CD346" s="323"/>
      <c r="CE346" s="323"/>
      <c r="CF346" s="323"/>
      <c r="CG346" s="323"/>
      <c r="CH346" s="323"/>
      <c r="CI346" s="323"/>
      <c r="CJ346" s="323"/>
      <c r="CK346" s="323"/>
      <c r="CL346" s="323"/>
      <c r="CM346" s="323"/>
      <c r="CN346" s="323"/>
      <c r="CO346" s="323"/>
      <c r="CP346" s="428"/>
      <c r="CQ346" s="441"/>
      <c r="CR346" s="323"/>
      <c r="CS346" s="323"/>
      <c r="CT346" s="323"/>
      <c r="CU346" s="323"/>
      <c r="CV346" s="323"/>
      <c r="CW346" s="323"/>
      <c r="CX346" s="323"/>
      <c r="CY346" s="323"/>
      <c r="CZ346" s="323"/>
    </row>
    <row r="347" spans="2:222" ht="40.4" customHeight="1" thickBot="1" x14ac:dyDescent="0.4">
      <c r="B347" s="209" t="str">
        <f>'LCA data'!$B$65</f>
        <v>Indvendig beklædning</v>
      </c>
      <c r="C347" s="471">
        <f>IF($C$46-C357-C367-C377-C387&lt;0,0,$C$46-C357-C367-C377-C387)</f>
        <v>240</v>
      </c>
      <c r="D347" s="171" t="s">
        <v>103</v>
      </c>
      <c r="E347" s="344" t="str">
        <f>IF($E$343=$C$72,D347,VLOOKUP(B347,Auto_Skillevæg[],VLOOKUP($X$31,Type_Tung_Middel_Let[],2,0),0))</f>
        <v>Angiv ikke</v>
      </c>
      <c r="F347" s="459">
        <f>(VLOOKUP(E347,Pris.indvendig.beklædning[],4,0))/1000</f>
        <v>0</v>
      </c>
      <c r="G347" s="354"/>
      <c r="H347" s="355" t="str">
        <f>IFERROR(IF(VLOOKUP(B347&amp;"_"&amp;E347,'LCA data'!$B$7:$X$200,2,FALSE)&lt;$Y$24,1,0)+IF(VLOOKUP(B347&amp;"_"&amp;E347,'LCA data'!$B$7:$X$200,2,FALSE)*2&lt;$Y$24,1,0),"")</f>
        <v/>
      </c>
      <c r="I347" s="171" t="s">
        <v>103</v>
      </c>
      <c r="J347" s="344" t="str">
        <f>IF($J$343=$C$72,I347,VLOOKUP(B347,Auto_Skillevæg[],VLOOKUP($Y$31,Type_Tung_Middel_Let[],2,0),0))</f>
        <v>ler-/hampplade</v>
      </c>
      <c r="K347" s="518">
        <f>(VLOOKUP(J347,Pris.indvendig.beklædning[],4,0))/1000</f>
        <v>0.02</v>
      </c>
      <c r="L347" s="519"/>
      <c r="M347" s="520">
        <f>IFERROR(IF(VLOOKUP(B347&amp;"_"&amp;J347,'LCA data'!$B$7:$X$200,2,FALSE)&lt;$Y$24,1,0)+IF(VLOOKUP(B347&amp;"_"&amp;J347,'LCA data'!$B$7:$X$200,2,FALSE)*2&lt;$Y$24,1,0),"")</f>
        <v>0</v>
      </c>
      <c r="N347" s="210">
        <f>W347/1000</f>
        <v>0</v>
      </c>
      <c r="O347" s="879"/>
      <c r="P347" s="211">
        <f>X347/1000</f>
        <v>7.730625599999999E-2</v>
      </c>
      <c r="Q347" s="879"/>
      <c r="R347" s="212"/>
      <c r="S347" s="213"/>
      <c r="U347" s="251"/>
      <c r="V347" s="251"/>
      <c r="W347" s="323">
        <f>IF(E347="Angiv ikke",0,((1+H347)*VLOOKUP(B347&amp;"_"&amp;E347,'LCA data'!$B$7:$X$360,19,FALSE)*(F347*10^3)*C347))</f>
        <v>0</v>
      </c>
      <c r="X347" s="323">
        <f>IF(J347="Angiv ikke",0,((1+M347)*VLOOKUP(B347&amp;"_"&amp;J347,'LCA data'!$B$7:$X$360,19,FALSE)*(K347*10^3)*C347))</f>
        <v>77.306255999999991</v>
      </c>
      <c r="Y347" s="323"/>
      <c r="Z347" s="323"/>
      <c r="AA347" s="323"/>
      <c r="AB347" s="323"/>
      <c r="AC347" s="323"/>
      <c r="AD347" s="323"/>
      <c r="AE347" s="323"/>
      <c r="AF347" s="323"/>
      <c r="AG347" s="323"/>
      <c r="AH347" s="323"/>
      <c r="AI347" s="323"/>
      <c r="AJ347" s="323"/>
      <c r="AK347" s="323"/>
      <c r="AL347" s="323">
        <f>IFERROR(AJ347+VLOOKUP(B347&amp;"_"&amp;J347,'LCA data'!$B$7:$X$238,2,FALSE),"")</f>
        <v>60</v>
      </c>
      <c r="AM347" s="323" t="str">
        <f>IFERROR(IF(M347-1&gt;0,VLOOKUP(B347&amp;"_"&amp;J347,'LCA data'!$B$7:$X$200,19,FALSE)*(K347*10^3)*C347,""),"")</f>
        <v/>
      </c>
      <c r="AN347" s="323">
        <f>IF(E347="Angiv ikke",0,((1+H347)*VLOOKUP(B347&amp;"_"&amp;E347,'LCA data'!$B$7:$X$360,20,FALSE)*(F347*10^3)*C347))</f>
        <v>0</v>
      </c>
      <c r="AO347" s="323">
        <f>IF(J347="Angiv ikke",0,((1+M347)*VLOOKUP(B347&amp;"_"&amp;J347,'LCA data'!$B$7:$X$360,20,FALSE)*(K347*10^3)*C347))</f>
        <v>-14.100527999999999</v>
      </c>
      <c r="AP347" s="323"/>
      <c r="AQ347" s="323"/>
      <c r="AR347" s="323">
        <f>IF(E347="Angiv ikke",0,((1+H347)*VLOOKUP(B347&amp;"_"&amp;E347,'LCA data'!$B$7:$AA$360,26,FALSE)*(F347*10^3)*C347))</f>
        <v>0</v>
      </c>
      <c r="AS347" s="323">
        <f>IF(J347="Angiv ikke",0,((1+M347)*VLOOKUP(B347&amp;"_"&amp;J347,'LCA data'!$B$7:$AA$360,26,FALSE)*(K347*10^3)*C347))</f>
        <v>0</v>
      </c>
      <c r="AT347" s="323"/>
      <c r="AU347" s="323"/>
      <c r="AV347" s="323"/>
      <c r="AW347" s="323"/>
      <c r="AX347" s="323"/>
      <c r="AY347" s="323"/>
      <c r="AZ347" s="323"/>
      <c r="BA347" s="323"/>
      <c r="BB347" s="323"/>
      <c r="BC347" s="323"/>
      <c r="BD347" s="323"/>
      <c r="BE347" s="323"/>
      <c r="BF347" s="323"/>
      <c r="BG347" s="323"/>
      <c r="BH347" s="323"/>
      <c r="BI347" s="323"/>
      <c r="BJ347" s="323"/>
      <c r="BK347" s="323"/>
      <c r="BL347" s="323"/>
      <c r="BM347" s="323"/>
      <c r="BN347" s="323"/>
      <c r="BO347" s="323"/>
      <c r="BP347" s="323"/>
      <c r="BQ347" s="323"/>
      <c r="BR347" s="323"/>
      <c r="BS347" s="323"/>
      <c r="BT347" s="323"/>
      <c r="BU347" s="323"/>
      <c r="BV347" s="323"/>
      <c r="BW347" s="323"/>
      <c r="BX347" s="323"/>
      <c r="BY347" s="323"/>
      <c r="BZ347" s="323"/>
      <c r="CA347" s="323"/>
      <c r="CB347" s="323"/>
      <c r="CC347" s="323"/>
      <c r="CD347" s="323"/>
      <c r="CE347" s="323"/>
      <c r="CF347" s="323"/>
      <c r="CG347" s="323"/>
      <c r="CH347" s="323"/>
      <c r="CI347" s="323"/>
      <c r="CJ347" s="323"/>
      <c r="CK347" s="323"/>
      <c r="CL347" s="323"/>
      <c r="CM347" s="323"/>
      <c r="CN347" s="323"/>
      <c r="CO347" s="323"/>
      <c r="CP347" s="428"/>
      <c r="CQ347" s="441"/>
      <c r="CR347" s="323"/>
      <c r="CS347" s="323"/>
      <c r="CT347" s="323"/>
      <c r="CU347" s="323"/>
      <c r="CV347" s="323"/>
      <c r="CW347" s="323"/>
      <c r="CX347" s="323"/>
      <c r="CY347" s="323"/>
      <c r="CZ347" s="323"/>
    </row>
    <row r="348" spans="2:222" ht="17.149999999999999" customHeight="1" x14ac:dyDescent="0.35">
      <c r="B348" s="173" t="s">
        <v>128</v>
      </c>
      <c r="C348" s="217"/>
      <c r="D348" s="217"/>
      <c r="E348" s="217"/>
      <c r="F348" s="217"/>
      <c r="G348" s="217"/>
      <c r="H348" s="217"/>
      <c r="I348" s="217"/>
      <c r="J348" s="217"/>
      <c r="K348" s="217"/>
      <c r="L348" s="217"/>
      <c r="M348" s="217"/>
      <c r="N348" s="217"/>
      <c r="O348" s="217"/>
      <c r="P348" s="217"/>
      <c r="Q348" s="217"/>
      <c r="R348" s="217"/>
      <c r="U348" s="251"/>
      <c r="V348" s="251"/>
      <c r="W348" s="323"/>
      <c r="X348" s="323"/>
      <c r="Y348" s="323"/>
      <c r="Z348" s="323"/>
      <c r="AA348" s="323"/>
      <c r="AB348" s="323"/>
      <c r="AC348" s="323"/>
      <c r="AD348" s="323"/>
      <c r="AE348" s="323"/>
      <c r="AF348" s="323"/>
      <c r="AG348" s="323"/>
      <c r="AH348" s="323"/>
      <c r="AI348" s="323"/>
      <c r="AJ348" s="323"/>
      <c r="AK348" s="323"/>
      <c r="AL348" s="323" t="str">
        <f>IFERROR(AJ348+VLOOKUP(B348&amp;"_"&amp;J348,'LCA data'!$B$7:$X$238,2,FALSE),"")</f>
        <v/>
      </c>
      <c r="AM348" s="323" t="str">
        <f>IFERROR(IF(M348-1&gt;0,VLOOKUP(B348&amp;"_"&amp;J348,'LCA data'!$B$7:$X$200,19,FALSE)*(K348*10^3)*C348,""),"")</f>
        <v/>
      </c>
      <c r="AN348" s="323" t="str">
        <f>IFERROR(AL348+VLOOKUP(B348&amp;"_"&amp;J348,'LCA data'!$B$7:$X$238,2,FALSE),"")</f>
        <v/>
      </c>
      <c r="AO348" s="323" t="str">
        <f>IFERROR(IF(M348-2&gt;0,VLOOKUP(B348&amp;"_"&amp;J348,'LCA data'!$B$7:$X$200,19,FALSE)*(K348*10^3)*C348,""),"")</f>
        <v/>
      </c>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c r="BL348" s="323"/>
      <c r="BM348" s="323"/>
      <c r="BN348" s="323"/>
      <c r="BO348" s="323"/>
      <c r="BP348" s="323"/>
      <c r="BQ348" s="323"/>
      <c r="BR348" s="323"/>
      <c r="BS348" s="323"/>
      <c r="BT348" s="323"/>
      <c r="BU348" s="323"/>
      <c r="BV348" s="323"/>
      <c r="BW348" s="323"/>
      <c r="BX348" s="323"/>
      <c r="BY348" s="323"/>
      <c r="BZ348" s="323"/>
      <c r="CA348" s="323"/>
      <c r="CB348" s="323"/>
      <c r="CC348" s="323"/>
      <c r="CD348" s="323"/>
      <c r="CE348" s="323"/>
      <c r="CF348" s="323"/>
      <c r="CG348" s="323"/>
      <c r="CH348" s="323"/>
      <c r="CI348" s="323"/>
      <c r="CJ348" s="323"/>
      <c r="CK348" s="323"/>
      <c r="CL348" s="323"/>
      <c r="CM348" s="323"/>
      <c r="CN348" s="323"/>
      <c r="CO348" s="323"/>
      <c r="CP348" s="428"/>
      <c r="CQ348" s="441"/>
      <c r="CR348" s="323"/>
      <c r="CS348" s="323"/>
      <c r="CT348" s="323"/>
      <c r="CU348" s="323"/>
      <c r="CV348" s="323"/>
      <c r="CW348" s="323"/>
      <c r="CX348" s="323"/>
      <c r="CY348" s="323"/>
      <c r="CZ348" s="323"/>
    </row>
    <row r="349" spans="2:222" ht="18.75" customHeight="1" thickBot="1" x14ac:dyDescent="0.4">
      <c r="B349" s="558"/>
      <c r="C349" s="558"/>
      <c r="D349" s="558"/>
      <c r="E349" s="558"/>
      <c r="F349" s="558"/>
      <c r="G349" s="558"/>
      <c r="H349" s="558"/>
      <c r="I349" s="558"/>
      <c r="J349" s="558"/>
      <c r="K349" s="558"/>
      <c r="L349" s="558"/>
      <c r="M349" s="558"/>
      <c r="N349" s="217"/>
      <c r="O349" s="217"/>
      <c r="P349" s="217"/>
      <c r="Q349" s="217"/>
      <c r="R349" s="217"/>
      <c r="U349" s="251"/>
      <c r="V349" s="251"/>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c r="BN349" s="323"/>
      <c r="BO349" s="323"/>
      <c r="BP349" s="323"/>
      <c r="BQ349" s="323"/>
      <c r="BR349" s="323"/>
      <c r="BS349" s="323"/>
      <c r="BT349" s="323"/>
      <c r="BU349" s="323"/>
      <c r="BV349" s="323"/>
      <c r="BW349" s="323"/>
      <c r="BX349" s="323"/>
      <c r="BY349" s="323"/>
      <c r="BZ349" s="323"/>
      <c r="CA349" s="323"/>
      <c r="CB349" s="323"/>
      <c r="CC349" s="323"/>
      <c r="CD349" s="323"/>
      <c r="CE349" s="323"/>
      <c r="CF349" s="323"/>
      <c r="CG349" s="323"/>
      <c r="CH349" s="323"/>
      <c r="CI349" s="323"/>
      <c r="CJ349" s="323"/>
      <c r="CK349" s="323"/>
      <c r="CL349" s="323"/>
      <c r="CM349" s="323"/>
      <c r="CN349" s="323"/>
      <c r="CO349" s="323"/>
      <c r="CP349" s="428"/>
      <c r="CQ349" s="441"/>
      <c r="CR349" s="323"/>
      <c r="CS349" s="323"/>
      <c r="CT349" s="323"/>
      <c r="CU349" s="323"/>
      <c r="CV349" s="323"/>
      <c r="CW349" s="323"/>
      <c r="CX349" s="323"/>
      <c r="CY349" s="323"/>
      <c r="CZ349" s="323"/>
    </row>
    <row r="350" spans="2:222" ht="29.25" customHeight="1" outlineLevel="1" x14ac:dyDescent="0.7">
      <c r="B350" s="493" t="s">
        <v>112</v>
      </c>
      <c r="C350" s="499"/>
      <c r="D350" s="499"/>
      <c r="E350" s="506" t="s">
        <v>39</v>
      </c>
      <c r="F350" s="499"/>
      <c r="G350" s="499"/>
      <c r="H350" s="499"/>
      <c r="I350" s="500" t="str">
        <f>"Skillevægstype"&amp;" "&amp;2</f>
        <v>Skillevægstype 2</v>
      </c>
      <c r="J350" s="500"/>
      <c r="K350" s="499"/>
      <c r="L350" s="499"/>
      <c r="M350" s="499"/>
      <c r="N350" s="499"/>
      <c r="O350" s="499"/>
      <c r="P350" s="499"/>
      <c r="Q350" s="501"/>
      <c r="R350" s="409"/>
      <c r="S350" s="191"/>
      <c r="U350" s="251"/>
      <c r="V350" s="251"/>
      <c r="W350" s="323">
        <f>IF(D353=$D$82,1,0)</f>
        <v>1</v>
      </c>
      <c r="X350" s="323">
        <f>IF(I353=$D$82,1,0)</f>
        <v>1</v>
      </c>
      <c r="Y350" s="323"/>
      <c r="Z350" s="323"/>
      <c r="AA350" s="323"/>
      <c r="AB350" s="323"/>
      <c r="AC350" s="323"/>
      <c r="AD350" s="323"/>
      <c r="AE350" s="323"/>
      <c r="AF350" s="323"/>
      <c r="AG350" s="323"/>
      <c r="AH350" s="323"/>
      <c r="AI350" s="323"/>
      <c r="AJ350" s="323" t="s">
        <v>746</v>
      </c>
      <c r="AK350" s="323" t="s">
        <v>747</v>
      </c>
      <c r="AL350" s="323"/>
      <c r="AM350" s="323"/>
      <c r="AN350" s="323" t="s">
        <v>846</v>
      </c>
      <c r="AO350" s="323"/>
      <c r="AP350" s="323"/>
      <c r="AQ350" s="323"/>
      <c r="AR350" s="323" t="s">
        <v>851</v>
      </c>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c r="BN350" s="323"/>
      <c r="BO350" s="323"/>
      <c r="BP350" s="323"/>
      <c r="BQ350" s="323"/>
      <c r="BR350" s="323"/>
      <c r="BS350" s="323"/>
      <c r="BT350" s="323"/>
      <c r="BU350" s="323"/>
      <c r="BV350" s="323"/>
      <c r="BW350" s="323"/>
      <c r="BX350" s="323"/>
      <c r="BY350" s="323"/>
      <c r="BZ350" s="323"/>
      <c r="CA350" s="323"/>
      <c r="CB350" s="323"/>
      <c r="CC350" s="323"/>
      <c r="CD350" s="323"/>
      <c r="CE350" s="323"/>
      <c r="CF350" s="323"/>
      <c r="CG350" s="323"/>
      <c r="CH350" s="323"/>
      <c r="CI350" s="323"/>
      <c r="CJ350" s="323"/>
      <c r="CK350" s="323"/>
      <c r="CL350" s="323"/>
      <c r="CM350" s="323"/>
      <c r="CN350" s="323"/>
      <c r="CO350" s="323"/>
      <c r="CP350" s="428"/>
      <c r="CQ350" s="441"/>
      <c r="CR350" s="323"/>
      <c r="CS350" s="323"/>
      <c r="CT350" s="323"/>
      <c r="CU350" s="323"/>
      <c r="CV350" s="323"/>
      <c r="CW350" s="323"/>
      <c r="CX350" s="323"/>
      <c r="CY350" s="323"/>
      <c r="CZ350" s="323"/>
    </row>
    <row r="351" spans="2:222" ht="40.4" customHeight="1" outlineLevel="1" x14ac:dyDescent="0.35">
      <c r="B351" s="359" t="s">
        <v>78</v>
      </c>
      <c r="C351" s="195" t="s">
        <v>80</v>
      </c>
      <c r="D351" s="910" t="s">
        <v>4</v>
      </c>
      <c r="E351" s="911"/>
      <c r="F351" s="911"/>
      <c r="G351" s="911"/>
      <c r="H351" s="912"/>
      <c r="I351" s="885" t="s">
        <v>5</v>
      </c>
      <c r="J351" s="886"/>
      <c r="K351" s="886"/>
      <c r="L351" s="886"/>
      <c r="M351" s="887"/>
      <c r="N351" s="877" t="s">
        <v>79</v>
      </c>
      <c r="O351" s="877"/>
      <c r="P351" s="877"/>
      <c r="Q351" s="881"/>
      <c r="R351" s="192"/>
      <c r="S351" s="193"/>
      <c r="T351" s="175"/>
      <c r="U351" s="251"/>
      <c r="V351" s="251"/>
      <c r="W351" s="323"/>
      <c r="X351" s="323"/>
      <c r="Y351" s="323"/>
      <c r="Z351" s="323"/>
      <c r="AA351" s="323"/>
      <c r="AB351" s="323"/>
      <c r="AC351" s="323"/>
      <c r="AD351" s="323"/>
      <c r="AE351" s="323"/>
      <c r="AF351" s="323"/>
      <c r="AG351" s="323"/>
      <c r="AH351" s="323"/>
      <c r="AI351" s="323" t="str">
        <f>'LCA data'!$B$65</f>
        <v>Indvendig beklædning</v>
      </c>
      <c r="AJ351" s="323">
        <f>(VLOOKUP(E354,Pris.indvendig.beklædning[],2,0))*C354</f>
        <v>0</v>
      </c>
      <c r="AK351" s="323">
        <f>(VLOOKUP(J354,Pris.indvendig.beklædning[],2,0))*C354</f>
        <v>0</v>
      </c>
      <c r="AL351" s="323"/>
      <c r="AM351" s="323"/>
      <c r="AN351" s="323" t="s">
        <v>4</v>
      </c>
      <c r="AO351" s="323" t="s">
        <v>5</v>
      </c>
      <c r="AP351" s="323"/>
      <c r="AQ351" s="323"/>
      <c r="AR351" s="323" t="s">
        <v>4</v>
      </c>
      <c r="AS351" s="323" t="s">
        <v>5</v>
      </c>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c r="BN351" s="323"/>
      <c r="BO351" s="323"/>
      <c r="BP351" s="323"/>
      <c r="BQ351" s="323"/>
      <c r="BR351" s="323"/>
      <c r="BS351" s="323"/>
      <c r="BT351" s="323"/>
      <c r="BU351" s="323"/>
      <c r="BV351" s="323"/>
      <c r="BW351" s="323"/>
      <c r="BX351" s="323"/>
      <c r="BY351" s="323"/>
      <c r="BZ351" s="323"/>
      <c r="CA351" s="323"/>
      <c r="CB351" s="323"/>
      <c r="CC351" s="323"/>
      <c r="CD351" s="323"/>
      <c r="CE351" s="323"/>
      <c r="CF351" s="323"/>
      <c r="CG351" s="323"/>
      <c r="CH351" s="323"/>
      <c r="CI351" s="323"/>
      <c r="CJ351" s="323"/>
      <c r="CK351" s="323"/>
      <c r="CL351" s="323"/>
      <c r="CM351" s="323"/>
      <c r="CN351" s="323"/>
      <c r="CO351" s="323"/>
      <c r="CP351" s="428"/>
      <c r="CQ351" s="441"/>
      <c r="CR351" s="323"/>
      <c r="CS351" s="323"/>
      <c r="CT351" s="323"/>
      <c r="CU351" s="323"/>
      <c r="CV351" s="323"/>
      <c r="CW351" s="323"/>
      <c r="CX351" s="323"/>
      <c r="CY351" s="323"/>
      <c r="CZ351" s="323"/>
    </row>
    <row r="352" spans="2:222" ht="47.15" customHeight="1" outlineLevel="1" x14ac:dyDescent="0.35">
      <c r="B352" s="194"/>
      <c r="C352" s="665">
        <v>0</v>
      </c>
      <c r="D352" s="908" t="s">
        <v>797</v>
      </c>
      <c r="E352" s="909"/>
      <c r="F352" s="338" t="s">
        <v>82</v>
      </c>
      <c r="G352" s="338"/>
      <c r="H352" s="346" t="s">
        <v>84</v>
      </c>
      <c r="I352" s="913" t="s">
        <v>797</v>
      </c>
      <c r="J352" s="914"/>
      <c r="K352" s="479" t="s">
        <v>82</v>
      </c>
      <c r="L352" s="479"/>
      <c r="M352" s="508" t="s">
        <v>84</v>
      </c>
      <c r="N352" s="195" t="s">
        <v>4</v>
      </c>
      <c r="O352" s="195" t="s">
        <v>85</v>
      </c>
      <c r="P352" s="195" t="s">
        <v>5</v>
      </c>
      <c r="Q352" s="357" t="s">
        <v>86</v>
      </c>
      <c r="R352" s="192"/>
      <c r="S352" s="196"/>
      <c r="U352" s="251"/>
      <c r="V352" s="251"/>
      <c r="W352" s="323" t="s">
        <v>87</v>
      </c>
      <c r="X352" s="323" t="s">
        <v>88</v>
      </c>
      <c r="Y352" s="323"/>
      <c r="Z352" s="323"/>
      <c r="AA352" s="323" t="s">
        <v>91</v>
      </c>
      <c r="AB352" s="323"/>
      <c r="AC352" s="323"/>
      <c r="AD352" s="323"/>
      <c r="AE352" s="323" t="s">
        <v>92</v>
      </c>
      <c r="AF352" s="323"/>
      <c r="AG352" s="323"/>
      <c r="AH352" s="323"/>
      <c r="AI352" s="323" t="str">
        <f>'LCA data'!$B$32</f>
        <v>Isolering</v>
      </c>
      <c r="AJ352" s="323">
        <f>VLOOKUP(E355,Pris.isolering[],2,0)*F355*C355</f>
        <v>0</v>
      </c>
      <c r="AK352" s="323">
        <f>VLOOKUP(J355,Pris.isolering[],2,0)*K355*C355</f>
        <v>0</v>
      </c>
      <c r="AL352" s="323"/>
      <c r="AM352" s="323"/>
      <c r="AN352" s="323">
        <f>SUM(AN354:AN358)</f>
        <v>0</v>
      </c>
      <c r="AO352" s="323">
        <f>SUM(AO354:AO358)</f>
        <v>0</v>
      </c>
      <c r="AP352" s="323"/>
      <c r="AQ352" s="323"/>
      <c r="AR352" s="323">
        <f>SUM(AR354:AR357)</f>
        <v>0</v>
      </c>
      <c r="AS352" s="323">
        <f>SUM(AS354:AS357)</f>
        <v>0</v>
      </c>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c r="BN352" s="323"/>
      <c r="BO352" s="323"/>
      <c r="BP352" s="323"/>
      <c r="BQ352" s="323"/>
      <c r="BR352" s="323"/>
      <c r="BS352" s="323"/>
      <c r="BT352" s="323"/>
      <c r="BU352" s="323"/>
      <c r="BV352" s="323"/>
      <c r="BW352" s="323"/>
      <c r="BX352" s="323"/>
      <c r="BY352" s="323"/>
      <c r="BZ352" s="323"/>
      <c r="CA352" s="323"/>
      <c r="CB352" s="323"/>
      <c r="CC352" s="323"/>
      <c r="CD352" s="323"/>
      <c r="CE352" s="323"/>
      <c r="CF352" s="323"/>
      <c r="CG352" s="323"/>
      <c r="CH352" s="323"/>
      <c r="CI352" s="323"/>
      <c r="CJ352" s="323"/>
      <c r="CK352" s="323"/>
      <c r="CL352" s="323"/>
      <c r="CM352" s="323"/>
      <c r="CN352" s="323"/>
      <c r="CO352" s="323"/>
      <c r="CP352" s="428"/>
      <c r="CQ352" s="441"/>
      <c r="CR352" s="323"/>
      <c r="CS352" s="323"/>
      <c r="CT352" s="323"/>
      <c r="CU352" s="323"/>
      <c r="CV352" s="323"/>
      <c r="CW352" s="323"/>
      <c r="CX352" s="323"/>
      <c r="CY352" s="323"/>
      <c r="CZ352" s="323"/>
    </row>
    <row r="353" spans="2:222" s="198" customFormat="1" ht="26" customHeight="1" outlineLevel="1" x14ac:dyDescent="0.35">
      <c r="B353" s="199"/>
      <c r="C353" s="410" t="s">
        <v>801</v>
      </c>
      <c r="D353" s="915" t="s">
        <v>811</v>
      </c>
      <c r="E353" s="915"/>
      <c r="F353" s="347" t="s">
        <v>94</v>
      </c>
      <c r="G353" s="348"/>
      <c r="H353" s="349" t="s">
        <v>96</v>
      </c>
      <c r="I353" s="915" t="s">
        <v>811</v>
      </c>
      <c r="J353" s="915"/>
      <c r="K353" s="510" t="s">
        <v>94</v>
      </c>
      <c r="L353" s="511"/>
      <c r="M353" s="512" t="s">
        <v>96</v>
      </c>
      <c r="N353" s="201" t="s">
        <v>97</v>
      </c>
      <c r="O353" s="201" t="s">
        <v>97</v>
      </c>
      <c r="P353" s="201" t="s">
        <v>97</v>
      </c>
      <c r="Q353" s="358" t="s">
        <v>97</v>
      </c>
      <c r="R353" s="202"/>
      <c r="S353" s="203"/>
      <c r="T353" s="204"/>
      <c r="U353" s="325"/>
      <c r="V353" s="325"/>
      <c r="W353" s="323">
        <f>SUM(W354:W358)</f>
        <v>0</v>
      </c>
      <c r="X353" s="323">
        <f>SUM(X354:X358)</f>
        <v>0</v>
      </c>
      <c r="Y353" s="323"/>
      <c r="Z353" s="323"/>
      <c r="AA353" s="323"/>
      <c r="AB353" s="323" t="s">
        <v>111</v>
      </c>
      <c r="AC353" s="323"/>
      <c r="AD353" s="323" t="s">
        <v>99</v>
      </c>
      <c r="AE353" s="323" t="s">
        <v>100</v>
      </c>
      <c r="AF353" s="323"/>
      <c r="AG353" s="323"/>
      <c r="AH353" s="323"/>
      <c r="AI353" s="323" t="str">
        <f>'LCA data'!$B$201</f>
        <v>Skillevægskonstruktion</v>
      </c>
      <c r="AJ353" s="323">
        <f>VLOOKUP(E356,Pris.væg.konstruktion[],2,0)*C356</f>
        <v>0</v>
      </c>
      <c r="AK353" s="323">
        <f>VLOOKUP(J356,Pris.væg.konstruktion[],2,0)*C356</f>
        <v>0</v>
      </c>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c r="BM353" s="323"/>
      <c r="BN353" s="323"/>
      <c r="BO353" s="323"/>
      <c r="BP353" s="323"/>
      <c r="BQ353" s="323"/>
      <c r="BR353" s="323"/>
      <c r="BS353" s="323"/>
      <c r="BT353" s="323"/>
      <c r="BU353" s="323"/>
      <c r="BV353" s="323"/>
      <c r="BW353" s="323"/>
      <c r="BX353" s="323"/>
      <c r="BY353" s="323"/>
      <c r="BZ353" s="323"/>
      <c r="CA353" s="323"/>
      <c r="CB353" s="323"/>
      <c r="CC353" s="323"/>
      <c r="CD353" s="323"/>
      <c r="CE353" s="323"/>
      <c r="CF353" s="323"/>
      <c r="CG353" s="323"/>
      <c r="CH353" s="323"/>
      <c r="CI353" s="323"/>
      <c r="CJ353" s="323"/>
      <c r="CK353" s="323"/>
      <c r="CL353" s="323"/>
      <c r="CM353" s="323"/>
      <c r="CN353" s="323"/>
      <c r="CO353" s="323"/>
      <c r="CP353" s="428"/>
      <c r="CQ353" s="441"/>
      <c r="CR353" s="323"/>
      <c r="CS353" s="323"/>
      <c r="CT353" s="323"/>
      <c r="CU353" s="323"/>
      <c r="CV353" s="323"/>
      <c r="CW353" s="323"/>
      <c r="CX353" s="323"/>
      <c r="CY353" s="323"/>
      <c r="CZ353" s="323"/>
      <c r="DA353" s="325"/>
      <c r="DB353" s="325"/>
      <c r="DC353" s="325"/>
      <c r="DD353" s="325"/>
      <c r="DE353" s="325"/>
      <c r="DF353" s="325"/>
      <c r="DG353" s="325"/>
      <c r="DH353" s="325"/>
      <c r="DI353" s="325"/>
      <c r="DJ353" s="325"/>
      <c r="DK353" s="325"/>
      <c r="DL353" s="325"/>
      <c r="DM353" s="325"/>
      <c r="DN353" s="325"/>
      <c r="DO353" s="325"/>
      <c r="DP353" s="325"/>
      <c r="DQ353" s="325"/>
      <c r="DR353" s="325"/>
      <c r="DS353" s="325"/>
      <c r="DT353" s="325"/>
      <c r="DU353" s="325"/>
      <c r="DV353" s="325"/>
      <c r="DW353" s="325"/>
      <c r="DX353" s="325"/>
      <c r="DY353" s="325"/>
      <c r="DZ353" s="325"/>
      <c r="EA353" s="325"/>
      <c r="EB353" s="325"/>
      <c r="EC353" s="325"/>
      <c r="ED353" s="325"/>
      <c r="EE353" s="325"/>
      <c r="EF353" s="325"/>
      <c r="EG353" s="325"/>
      <c r="EH353" s="325"/>
      <c r="EI353" s="325"/>
      <c r="EJ353" s="325"/>
      <c r="EK353" s="325"/>
      <c r="EL353" s="325"/>
      <c r="EM353" s="325"/>
      <c r="EN353" s="325"/>
      <c r="EO353" s="325"/>
      <c r="EP353" s="325"/>
      <c r="EQ353" s="325"/>
      <c r="ER353" s="325"/>
      <c r="ES353" s="325"/>
      <c r="ET353" s="325"/>
      <c r="EU353" s="325"/>
      <c r="EV353" s="325"/>
      <c r="EW353" s="325"/>
      <c r="EX353" s="325"/>
      <c r="EY353" s="325"/>
      <c r="EZ353" s="325"/>
      <c r="FA353" s="325"/>
      <c r="FB353" s="325"/>
      <c r="FC353" s="325"/>
      <c r="FD353" s="325"/>
      <c r="FE353" s="325"/>
      <c r="FF353" s="325"/>
      <c r="FG353" s="325"/>
      <c r="FH353" s="325"/>
      <c r="FI353" s="325"/>
      <c r="FJ353" s="325"/>
      <c r="FK353" s="325"/>
      <c r="FL353" s="325"/>
      <c r="FM353" s="325"/>
      <c r="FN353" s="325"/>
      <c r="FO353" s="325"/>
      <c r="FP353" s="325"/>
      <c r="FQ353" s="325"/>
      <c r="FR353" s="325"/>
      <c r="FS353" s="325"/>
      <c r="FT353" s="325"/>
      <c r="FU353" s="325"/>
      <c r="FV353" s="325"/>
      <c r="FW353" s="325"/>
      <c r="FX353" s="325"/>
      <c r="FY353" s="325"/>
      <c r="FZ353" s="325"/>
      <c r="GA353" s="325"/>
      <c r="GB353" s="325"/>
      <c r="GC353" s="325"/>
      <c r="GD353" s="325"/>
      <c r="GE353" s="325"/>
      <c r="GF353" s="325"/>
      <c r="GG353" s="325"/>
      <c r="GH353" s="325"/>
      <c r="GI353" s="325"/>
      <c r="GJ353" s="325"/>
      <c r="GK353" s="325"/>
      <c r="GL353" s="325"/>
      <c r="GM353" s="325"/>
      <c r="GN353" s="325"/>
      <c r="GO353" s="325"/>
      <c r="GP353" s="325"/>
      <c r="GQ353" s="325"/>
      <c r="GR353" s="325"/>
      <c r="GS353" s="325"/>
      <c r="GT353" s="325"/>
      <c r="GU353" s="325"/>
      <c r="GV353" s="325"/>
      <c r="GW353" s="325"/>
      <c r="GX353" s="325"/>
      <c r="GY353" s="325"/>
      <c r="GZ353" s="325"/>
      <c r="HA353" s="325"/>
      <c r="HB353" s="325"/>
      <c r="HC353" s="325"/>
      <c r="HD353" s="325"/>
      <c r="HE353" s="325"/>
      <c r="HF353" s="325"/>
      <c r="HG353" s="325"/>
      <c r="HH353" s="325"/>
      <c r="HI353" s="325"/>
      <c r="HJ353" s="325"/>
      <c r="HK353" s="325"/>
      <c r="HL353" s="325"/>
      <c r="HM353" s="325"/>
      <c r="HN353" s="325"/>
    </row>
    <row r="354" spans="2:222" ht="40.4" customHeight="1" outlineLevel="1" x14ac:dyDescent="0.35">
      <c r="B354" s="363" t="str">
        <f>'LCA data'!$B$65</f>
        <v>Indvendig beklædning</v>
      </c>
      <c r="C354" s="470">
        <f>$C$352*$C$46</f>
        <v>0</v>
      </c>
      <c r="D354" s="15" t="s">
        <v>103</v>
      </c>
      <c r="E354" s="342" t="str">
        <f>IF($D$353=$D$82,D354,VLOOKUP(B354,Auto_Skillevæg[],VLOOKUP($D$353,Type_Tung_Middel_Let[],2,0),0))</f>
        <v>Angiv ikke</v>
      </c>
      <c r="F354" s="476">
        <f>(VLOOKUP(E354,Pris.indvendig.beklædning[],4,0))/1000</f>
        <v>0</v>
      </c>
      <c r="G354" s="350"/>
      <c r="H354" s="351" t="str">
        <f>IFERROR(IF(VLOOKUP(B354&amp;"_"&amp;E354,'LCA data'!$B$7:$X$200,2,FALSE)&lt;$Y$24,1,0)+IF(VLOOKUP(B354&amp;"_"&amp;E354,'LCA data'!$B$7:$X$200,2,FALSE)*2&lt;$Y$24,1,0),"")</f>
        <v/>
      </c>
      <c r="I354" s="15" t="s">
        <v>103</v>
      </c>
      <c r="J354" s="342" t="str">
        <f>IF($I$353=$D$82,I354,VLOOKUP(B354,Auto_Skillevæg[],VLOOKUP($I$353,Type_Tung_Middel_Let[],2,0),0))</f>
        <v>Angiv ikke</v>
      </c>
      <c r="K354" s="527">
        <f>(VLOOKUP(J354,Pris.indvendig.beklædning[],4,0))/1000</f>
        <v>0</v>
      </c>
      <c r="L354" s="514"/>
      <c r="M354" s="515" t="str">
        <f>IFERROR(IF(VLOOKUP(B354&amp;"_"&amp;J354,'LCA data'!$B$7:$X$200,2,FALSE)&lt;$Y$24,1,0)+IF(VLOOKUP(B354&amp;"_"&amp;J354,'LCA data'!$B$7:$X$200,2,FALSE)*2&lt;$Y$24,1,0),"")</f>
        <v/>
      </c>
      <c r="N354" s="364">
        <f>W354/1000</f>
        <v>0</v>
      </c>
      <c r="O354" s="880">
        <f>SUM(N354:N358)</f>
        <v>0</v>
      </c>
      <c r="P354" s="365">
        <f>X354/1000</f>
        <v>0</v>
      </c>
      <c r="Q354" s="888">
        <f>SUM(P354:P358)</f>
        <v>0</v>
      </c>
      <c r="R354" s="192"/>
      <c r="S354" s="196"/>
      <c r="U354" s="251"/>
      <c r="V354" s="251"/>
      <c r="W354" s="323">
        <f>IF(E354="Angiv ikke",0,((1+H354)*VLOOKUP(B354&amp;"_"&amp;E354,'LCA data'!$B$7:$X$360,19,FALSE)*(F354*10^3)*C354))</f>
        <v>0</v>
      </c>
      <c r="X354" s="323">
        <f>IF(J354="Angiv ikke",0,((1+M354)*VLOOKUP(B354&amp;"_"&amp;J354,'LCA data'!$B$7:$X$360,19,FALSE)*(K354*10^3)*C354))</f>
        <v>0</v>
      </c>
      <c r="Y354" s="323"/>
      <c r="Z354" s="323"/>
      <c r="AA354" s="323" t="s">
        <v>4</v>
      </c>
      <c r="AB354" s="323">
        <f>AF354/$J$21/$Y$24*1000</f>
        <v>0</v>
      </c>
      <c r="AC354" s="323"/>
      <c r="AD354" s="323">
        <f>AB354+AC354</f>
        <v>0</v>
      </c>
      <c r="AE354" s="323" t="s">
        <v>4</v>
      </c>
      <c r="AF354" s="323">
        <f>W353/1000</f>
        <v>0</v>
      </c>
      <c r="AG354" s="323"/>
      <c r="AH354" s="323"/>
      <c r="AI354" s="323" t="str">
        <f>'LCA data'!$B$65</f>
        <v>Indvendig beklædning</v>
      </c>
      <c r="AJ354" s="323">
        <f>(VLOOKUP(E357,Pris.indvendig.beklædning[],2,0))*C357</f>
        <v>0</v>
      </c>
      <c r="AK354" s="323">
        <f>(VLOOKUP(J357,Pris.indvendig.beklædning[],2,0))*C357</f>
        <v>0</v>
      </c>
      <c r="AL354" s="323"/>
      <c r="AM354" s="323"/>
      <c r="AN354" s="323">
        <f>IF(E354="Angiv ikke",0,((1+H354)*VLOOKUP(B354&amp;"_"&amp;E354,'LCA data'!$B$7:$X$360,20,FALSE)*(F354*10^3)*C354))</f>
        <v>0</v>
      </c>
      <c r="AO354" s="323">
        <f>IF(J354="Angiv ikke",0,((1+M354)*VLOOKUP(B354&amp;"_"&amp;J354,'LCA data'!$B$7:$X$360,20,FALSE)*(K354*10^3)*C354))</f>
        <v>0</v>
      </c>
      <c r="AP354" s="323"/>
      <c r="AQ354" s="323"/>
      <c r="AR354" s="323">
        <f>IF(E354="Angiv ikke",0,((1+H354)*VLOOKUP(B354&amp;"_"&amp;E354,'LCA data'!$B$7:$AA$360,26,FALSE)*(F354*10^3)*C354))</f>
        <v>0</v>
      </c>
      <c r="AS354" s="323">
        <f>IF(J354="Angiv ikke",0,((1+M354)*VLOOKUP(B354&amp;"_"&amp;J354,'LCA data'!$B$7:$AA$360,26,FALSE)*(K354*10^3)*C354))</f>
        <v>0</v>
      </c>
      <c r="AT354" s="323"/>
      <c r="AU354" s="323"/>
      <c r="AV354" s="323"/>
      <c r="AW354" s="323"/>
      <c r="AX354" s="323"/>
      <c r="AY354" s="323"/>
      <c r="AZ354" s="323"/>
      <c r="BA354" s="323"/>
      <c r="BB354" s="323"/>
      <c r="BC354" s="323"/>
      <c r="BD354" s="323"/>
      <c r="BE354" s="323"/>
      <c r="BF354" s="323"/>
      <c r="BG354" s="323"/>
      <c r="BH354" s="323"/>
      <c r="BI354" s="323"/>
      <c r="BJ354" s="323"/>
      <c r="BK354" s="323"/>
      <c r="BL354" s="323"/>
      <c r="BM354" s="323"/>
      <c r="BN354" s="323"/>
      <c r="BO354" s="323"/>
      <c r="BP354" s="323"/>
      <c r="BQ354" s="323"/>
      <c r="BR354" s="323"/>
      <c r="BS354" s="323"/>
      <c r="BT354" s="323"/>
      <c r="BU354" s="323"/>
      <c r="BV354" s="323"/>
      <c r="BW354" s="323"/>
      <c r="BX354" s="323"/>
      <c r="BY354" s="323"/>
      <c r="BZ354" s="323"/>
      <c r="CA354" s="323"/>
      <c r="CB354" s="323"/>
      <c r="CC354" s="323"/>
      <c r="CD354" s="323"/>
      <c r="CE354" s="323"/>
      <c r="CF354" s="323"/>
      <c r="CG354" s="323"/>
      <c r="CH354" s="323"/>
      <c r="CI354" s="323"/>
      <c r="CJ354" s="323"/>
      <c r="CK354" s="323"/>
      <c r="CL354" s="323"/>
      <c r="CM354" s="323"/>
      <c r="CN354" s="323"/>
      <c r="CO354" s="323"/>
      <c r="CP354" s="428"/>
      <c r="CQ354" s="428"/>
      <c r="CR354" s="323"/>
      <c r="CS354" s="323"/>
      <c r="CT354" s="323"/>
      <c r="CU354" s="323"/>
      <c r="CV354" s="323"/>
      <c r="CW354" s="323"/>
      <c r="CX354" s="323"/>
      <c r="CY354" s="323"/>
      <c r="CZ354" s="323"/>
    </row>
    <row r="355" spans="2:222" ht="40.4" customHeight="1" outlineLevel="1" x14ac:dyDescent="0.35">
      <c r="B355" s="208" t="str">
        <f>'LCA data'!$B$32</f>
        <v>Isolering</v>
      </c>
      <c r="C355" s="465">
        <f>$C$352*$C$46</f>
        <v>0</v>
      </c>
      <c r="D355" s="168" t="s">
        <v>103</v>
      </c>
      <c r="E355" s="342" t="str">
        <f>IF($D$353=$D$82,D355,VLOOKUP(B355,Auto_Skillevæg[],VLOOKUP($D$353,Type_Tung_Middel_Let[],2,0),0))</f>
        <v>Angiv ikke</v>
      </c>
      <c r="F355" s="172">
        <f>IF(OR(E356="Stålskelet",E356="Træskelet"),0.1,0)</f>
        <v>0</v>
      </c>
      <c r="G355" s="353"/>
      <c r="H355" s="351" t="str">
        <f>IFERROR(IF(VLOOKUP(B355&amp;"_"&amp;E355,'LCA data'!$B$7:$X$200,2,FALSE)&lt;$Y$24,1,0)+IF(VLOOKUP(B355&amp;"_"&amp;E355,'LCA data'!$B$7:$X$200,2,FALSE)*2&lt;$Y$24,1,0),"")</f>
        <v/>
      </c>
      <c r="I355" s="168" t="s">
        <v>103</v>
      </c>
      <c r="J355" s="342" t="str">
        <f>IF($I$353=$D$82,I355,VLOOKUP(B355,Auto_Skillevæg[],VLOOKUP($I$353,Type_Tung_Middel_Let[],2,0),0))</f>
        <v>Angiv ikke</v>
      </c>
      <c r="K355" s="172">
        <f>IF(OR(J356="Stålskelet",J356="Træskelet"),0.1,0)</f>
        <v>0</v>
      </c>
      <c r="L355" s="528"/>
      <c r="M355" s="515" t="str">
        <f>IFERROR(IF(VLOOKUP(B355&amp;"_"&amp;J355,'LCA data'!$B$7:$X$200,2,FALSE)&lt;$Y$24,1,0)+IF(VLOOKUP(B355&amp;"_"&amp;J355,'LCA data'!$B$7:$X$200,2,FALSE)*2&lt;$Y$24,1,0),"")</f>
        <v/>
      </c>
      <c r="N355" s="206">
        <f>W355/1000</f>
        <v>0</v>
      </c>
      <c r="O355" s="878"/>
      <c r="P355" s="207">
        <f>X355/1000</f>
        <v>0</v>
      </c>
      <c r="Q355" s="889"/>
      <c r="R355" s="192"/>
      <c r="S355" s="196"/>
      <c r="U355" s="251"/>
      <c r="V355" s="251"/>
      <c r="W355" s="323">
        <f>IF(E355="Angiv ikke",0,((1+H355)*VLOOKUP(B355&amp;"_"&amp;E355,'LCA data'!$B$7:$X$360,19,FALSE)*(F355*10^3)*C355))</f>
        <v>0</v>
      </c>
      <c r="X355" s="323">
        <f>IF(J355="Angiv ikke",0,((1+M355)*VLOOKUP(B355&amp;"_"&amp;J355,'LCA data'!$B$7:$X$360,19,FALSE)*(K355*10^3)*C355))</f>
        <v>0</v>
      </c>
      <c r="Y355" s="323"/>
      <c r="Z355" s="323"/>
      <c r="AA355" s="323" t="s">
        <v>5</v>
      </c>
      <c r="AB355" s="323">
        <f>AG355/$J$21/$Y$24*1000</f>
        <v>0</v>
      </c>
      <c r="AC355" s="323"/>
      <c r="AD355" s="323">
        <f>AB355+AC355</f>
        <v>0</v>
      </c>
      <c r="AE355" s="323" t="s">
        <v>5</v>
      </c>
      <c r="AF355" s="323"/>
      <c r="AG355" s="323">
        <f>X353/1000</f>
        <v>0</v>
      </c>
      <c r="AH355" s="323"/>
      <c r="AI355" s="323" t="s">
        <v>743</v>
      </c>
      <c r="AJ355" s="323">
        <f>SUM(AJ351:AJ354)</f>
        <v>0</v>
      </c>
      <c r="AK355" s="323">
        <f>SUM(AK351:AK354)</f>
        <v>0</v>
      </c>
      <c r="AL355" s="323"/>
      <c r="AM355" s="323"/>
      <c r="AN355" s="323">
        <f>IF(E355="Angiv ikke",0,((1+H355)*VLOOKUP(B355&amp;"_"&amp;E355,'LCA data'!$B$7:$X$360,20,FALSE)*(F355*10^3)*C355))</f>
        <v>0</v>
      </c>
      <c r="AO355" s="323">
        <f>IF(J355="Angiv ikke",0,((1+M355)*VLOOKUP(B355&amp;"_"&amp;J355,'LCA data'!$B$7:$X$360,20,FALSE)*(K355*10^3)*C355))</f>
        <v>0</v>
      </c>
      <c r="AP355" s="323"/>
      <c r="AQ355" s="323"/>
      <c r="AR355" s="323">
        <f>IF(E355="Angiv ikke",0,((1+H355)*VLOOKUP(B355&amp;"_"&amp;E355,'LCA data'!$B$7:$AA$360,26,FALSE)*(F355*10^3)*C355))</f>
        <v>0</v>
      </c>
      <c r="AS355" s="323">
        <f>IF(J355="Angiv ikke",0,((1+M355)*VLOOKUP(B355&amp;"_"&amp;J355,'LCA data'!$B$7:$AA$360,26,FALSE)*(K355*10^3)*C355))</f>
        <v>0</v>
      </c>
      <c r="AT355" s="323"/>
      <c r="AU355" s="323"/>
      <c r="AV355" s="323"/>
      <c r="AW355" s="323"/>
      <c r="AX355" s="323"/>
      <c r="AY355" s="323"/>
      <c r="AZ355" s="323"/>
      <c r="BA355" s="323"/>
      <c r="BB355" s="323"/>
      <c r="BC355" s="323"/>
      <c r="BD355" s="323"/>
      <c r="BE355" s="323"/>
      <c r="BF355" s="323"/>
      <c r="BG355" s="323"/>
      <c r="BH355" s="323"/>
      <c r="BI355" s="323"/>
      <c r="BJ355" s="323"/>
      <c r="BK355" s="323"/>
      <c r="BL355" s="323"/>
      <c r="BM355" s="323"/>
      <c r="BN355" s="323"/>
      <c r="BO355" s="323"/>
      <c r="BP355" s="323"/>
      <c r="BQ355" s="323"/>
      <c r="BR355" s="323"/>
      <c r="BS355" s="323"/>
      <c r="BT355" s="323"/>
      <c r="BU355" s="323"/>
      <c r="BV355" s="323"/>
      <c r="BW355" s="323"/>
      <c r="BX355" s="323"/>
      <c r="BY355" s="323"/>
      <c r="BZ355" s="323"/>
      <c r="CA355" s="323"/>
      <c r="CB355" s="323"/>
      <c r="CC355" s="323"/>
      <c r="CD355" s="323"/>
      <c r="CE355" s="323"/>
      <c r="CF355" s="323"/>
      <c r="CG355" s="323"/>
      <c r="CH355" s="323"/>
      <c r="CI355" s="323"/>
      <c r="CJ355" s="323"/>
      <c r="CK355" s="323"/>
      <c r="CL355" s="323"/>
      <c r="CM355" s="323"/>
      <c r="CN355" s="323"/>
      <c r="CO355" s="323"/>
      <c r="CP355" s="428"/>
      <c r="CQ355" s="441"/>
      <c r="CR355" s="323"/>
      <c r="CS355" s="323"/>
      <c r="CT355" s="323"/>
      <c r="CU355" s="323"/>
      <c r="CV355" s="323"/>
      <c r="CW355" s="323"/>
      <c r="CX355" s="323"/>
      <c r="CY355" s="323"/>
      <c r="CZ355" s="323"/>
    </row>
    <row r="356" spans="2:222" ht="40.4" customHeight="1" outlineLevel="1" x14ac:dyDescent="0.35">
      <c r="B356" s="205" t="str">
        <f>'LCA data'!$B$201</f>
        <v>Skillevægskonstruktion</v>
      </c>
      <c r="C356" s="465">
        <f>$C$352*$C$46</f>
        <v>0</v>
      </c>
      <c r="D356" s="169" t="s">
        <v>103</v>
      </c>
      <c r="E356" s="342" t="str">
        <f>IF($D$353=$D$82,D356,VLOOKUP(B356,Auto_Skillevæg[],VLOOKUP($D$353,Type_Tung_Middel_Let[],2,0),0))</f>
        <v>Angiv ikke</v>
      </c>
      <c r="F356" s="299">
        <f>IF(OR(E356="Stålskelet",E356="Træskelet"),F355,(VLOOKUP(E356,Pris.Skillevægs.konstruktion[],4,0)/1000))</f>
        <v>0</v>
      </c>
      <c r="G356" s="350"/>
      <c r="H356" s="351" t="str">
        <f>IFERROR(IF(VLOOKUP(B356&amp;"_"&amp;E356,'LCA data'!$B$7:$X$360,2,FALSE)&lt;$Y$24,1,0)+IF(VLOOKUP(B356&amp;"_"&amp;E356,'LCA data'!$B$7:$X$360,2,FALSE)*2&lt;$Y$24,1,0),"")</f>
        <v/>
      </c>
      <c r="I356" s="169" t="s">
        <v>103</v>
      </c>
      <c r="J356" s="342" t="str">
        <f>IF($I$353=$D$82,I356,VLOOKUP(B356,Auto_Skillevæg[],VLOOKUP($I$353,Type_Tung_Middel_Let[],2,0),0))</f>
        <v>Angiv ikke</v>
      </c>
      <c r="K356" s="299">
        <f>IF(OR(J356="Stålskelet",J356="Træskelet"),K355,(VLOOKUP(J356,Pris.Skillevægs.konstruktion[],4,0)/1000))</f>
        <v>0</v>
      </c>
      <c r="L356" s="514"/>
      <c r="M356" s="515" t="str">
        <f>IFERROR(IF(VLOOKUP(B356&amp;"_"&amp;J356,'LCA data'!$B$7:$X$360,2,FALSE)&lt;$Y$24,1,0)+IF(VLOOKUP(B356&amp;"_"&amp;J356,'LCA data'!$B$7:$X$360,2,FALSE)*2&lt;$Y$24,1,0),"")</f>
        <v/>
      </c>
      <c r="N356" s="206">
        <f>W356/1000</f>
        <v>0</v>
      </c>
      <c r="O356" s="878"/>
      <c r="P356" s="207">
        <f>X356/1000</f>
        <v>0</v>
      </c>
      <c r="Q356" s="889"/>
      <c r="R356" s="192"/>
      <c r="S356" s="196"/>
      <c r="U356" s="251"/>
      <c r="V356" s="251"/>
      <c r="W356" s="323">
        <f>IF(E356="Angiv ikke",0,((1+H356)*VLOOKUP(B356&amp;"_"&amp;E356,'LCA data'!$B$7:$X$360,19,FALSE)*(F356*10^3)*C356))</f>
        <v>0</v>
      </c>
      <c r="X356" s="323">
        <f>IF(J356="Angiv ikke",0,((1+M356)*VLOOKUP(B356&amp;"_"&amp;J356,'LCA data'!$B$7:$X$360,19,FALSE)*(K356*10^3)*C356))</f>
        <v>0</v>
      </c>
      <c r="Y356" s="323"/>
      <c r="Z356" s="323"/>
      <c r="AA356" s="323"/>
      <c r="AB356" s="323"/>
      <c r="AC356" s="323"/>
      <c r="AD356" s="323"/>
      <c r="AE356" s="323"/>
      <c r="AF356" s="323"/>
      <c r="AG356" s="323"/>
      <c r="AH356" s="323"/>
      <c r="AI356" s="323"/>
      <c r="AJ356" s="323"/>
      <c r="AK356" s="323"/>
      <c r="AL356" s="323"/>
      <c r="AM356" s="323"/>
      <c r="AN356" s="323">
        <f>IF(E356="Angiv ikke",0,((1+H356)*VLOOKUP(B356&amp;"_"&amp;E356,'LCA data'!$B$7:$X$360,20,FALSE)*(F356*10^3)*C356))</f>
        <v>0</v>
      </c>
      <c r="AO356" s="323">
        <f>IF(J356="Angiv ikke",0,((1+M356)*VLOOKUP(B356&amp;"_"&amp;J356,'LCA data'!$B$7:$X$360,20,FALSE)*(K356*10^3)*C356))</f>
        <v>0</v>
      </c>
      <c r="AP356" s="323"/>
      <c r="AQ356" s="323"/>
      <c r="AR356" s="323">
        <f>IF(E356="Angiv ikke",0,((1+H356)*VLOOKUP(B356&amp;"_"&amp;E356,'LCA data'!$B$7:$AA$360,26,FALSE)*(F356*10^3)*C356))</f>
        <v>0</v>
      </c>
      <c r="AS356" s="323">
        <f>IF(J356="Angiv ikke",0,((1+M356)*VLOOKUP(B356&amp;"_"&amp;J356,'LCA data'!$B$7:$AA$360,26,FALSE)*(K356*10^3)*C356))</f>
        <v>0</v>
      </c>
      <c r="AT356" s="323"/>
      <c r="AU356" s="323"/>
      <c r="AV356" s="323"/>
      <c r="AW356" s="323"/>
      <c r="AX356" s="323"/>
      <c r="AY356" s="323"/>
      <c r="AZ356" s="323"/>
      <c r="BA356" s="323"/>
      <c r="BB356" s="323"/>
      <c r="BC356" s="323"/>
      <c r="BD356" s="323"/>
      <c r="BE356" s="323"/>
      <c r="BF356" s="323"/>
      <c r="BG356" s="323"/>
      <c r="BH356" s="323"/>
      <c r="BI356" s="323"/>
      <c r="BJ356" s="323"/>
      <c r="BK356" s="323"/>
      <c r="BL356" s="323"/>
      <c r="BM356" s="323"/>
      <c r="BN356" s="323"/>
      <c r="BO356" s="323"/>
      <c r="BP356" s="323"/>
      <c r="BQ356" s="323"/>
      <c r="BR356" s="323"/>
      <c r="BS356" s="323"/>
      <c r="BT356" s="323"/>
      <c r="BU356" s="323"/>
      <c r="BV356" s="323"/>
      <c r="BW356" s="323"/>
      <c r="BX356" s="323"/>
      <c r="BY356" s="323"/>
      <c r="BZ356" s="323"/>
      <c r="CA356" s="323"/>
      <c r="CB356" s="323"/>
      <c r="CC356" s="323"/>
      <c r="CD356" s="323"/>
      <c r="CE356" s="323"/>
      <c r="CF356" s="323"/>
      <c r="CG356" s="323"/>
      <c r="CH356" s="323"/>
      <c r="CI356" s="323"/>
      <c r="CJ356" s="323"/>
      <c r="CK356" s="323"/>
      <c r="CL356" s="323"/>
      <c r="CM356" s="323"/>
      <c r="CN356" s="323"/>
      <c r="CO356" s="323"/>
      <c r="CP356" s="439"/>
      <c r="CQ356" s="440"/>
      <c r="CR356" s="323"/>
      <c r="CS356" s="323"/>
      <c r="CT356" s="323"/>
      <c r="CU356" s="323"/>
      <c r="CV356" s="323"/>
      <c r="CW356" s="323"/>
      <c r="CX356" s="323"/>
      <c r="CY356" s="323"/>
      <c r="CZ356" s="323"/>
    </row>
    <row r="357" spans="2:222" ht="40.4" customHeight="1" outlineLevel="1" thickBot="1" x14ac:dyDescent="0.4">
      <c r="B357" s="209" t="str">
        <f>'LCA data'!$B$65</f>
        <v>Indvendig beklædning</v>
      </c>
      <c r="C357" s="471">
        <f>$C$352*$C$46</f>
        <v>0</v>
      </c>
      <c r="D357" s="171" t="s">
        <v>103</v>
      </c>
      <c r="E357" s="382" t="str">
        <f>IF($D$353=$D$82,D357,VLOOKUP(B357,Auto_Skillevæg[],VLOOKUP($D$353,Type_Tung_Middel_Let[],2,0),0))</f>
        <v>Angiv ikke</v>
      </c>
      <c r="F357" s="459">
        <f>(VLOOKUP(E357,Pris.indvendig.beklædning[],4,0))/1000</f>
        <v>0</v>
      </c>
      <c r="G357" s="354"/>
      <c r="H357" s="355" t="str">
        <f>IFERROR(IF(VLOOKUP(B357&amp;"_"&amp;E357,'LCA data'!$B$7:$X$200,2,FALSE)&lt;$Y$24,1,0)+IF(VLOOKUP(B357&amp;"_"&amp;E357,'LCA data'!$B$7:$X$200,2,FALSE)*2&lt;$Y$24,1,0),"")</f>
        <v/>
      </c>
      <c r="I357" s="171" t="s">
        <v>103</v>
      </c>
      <c r="J357" s="382" t="str">
        <f>IF($I$353=$D$82,I357,VLOOKUP(B357,Auto_Skillevæg[],VLOOKUP($I$353,Type_Tung_Middel_Let[],2,0),0))</f>
        <v>Angiv ikke</v>
      </c>
      <c r="K357" s="518">
        <f>(VLOOKUP(J357,Pris.indvendig.beklædning[],4,0))/1000</f>
        <v>0</v>
      </c>
      <c r="L357" s="519"/>
      <c r="M357" s="520" t="str">
        <f>IFERROR(IF(VLOOKUP(B357&amp;"_"&amp;J357,'LCA data'!$B$7:$X$200,2,FALSE)&lt;$Y$24,1,0)+IF(VLOOKUP(B357&amp;"_"&amp;J357,'LCA data'!$B$7:$X$200,2,FALSE)*2&lt;$Y$24,1,0),"")</f>
        <v/>
      </c>
      <c r="N357" s="210">
        <f>W357/1000</f>
        <v>0</v>
      </c>
      <c r="O357" s="879"/>
      <c r="P357" s="211">
        <f>X357/1000</f>
        <v>0</v>
      </c>
      <c r="Q357" s="890"/>
      <c r="R357" s="212"/>
      <c r="S357" s="213"/>
      <c r="U357" s="251"/>
      <c r="V357" s="251"/>
      <c r="W357" s="323">
        <f>IF(E357="Angiv ikke",0,((1+H357)*VLOOKUP(B357&amp;"_"&amp;E357,'LCA data'!$B$7:$X$360,19,FALSE)*(F357*10^3)*C357))</f>
        <v>0</v>
      </c>
      <c r="X357" s="323">
        <f>IF(J357="Angiv ikke",0,((1+M357)*VLOOKUP(B357&amp;"_"&amp;J357,'LCA data'!$B$7:$X$360,19,FALSE)*(K357*10^3)*C357))</f>
        <v>0</v>
      </c>
      <c r="Y357" s="323"/>
      <c r="Z357" s="323"/>
      <c r="AA357" s="323"/>
      <c r="AB357" s="323"/>
      <c r="AC357" s="323"/>
      <c r="AD357" s="323"/>
      <c r="AE357" s="323"/>
      <c r="AF357" s="323"/>
      <c r="AG357" s="323"/>
      <c r="AH357" s="323"/>
      <c r="AI357" s="323"/>
      <c r="AJ357" s="323"/>
      <c r="AK357" s="323"/>
      <c r="AL357" s="323"/>
      <c r="AM357" s="323"/>
      <c r="AN357" s="323">
        <f>IF(E357="Angiv ikke",0,((1+H357)*VLOOKUP(B357&amp;"_"&amp;E357,'LCA data'!$B$7:$X$360,20,FALSE)*(F357*10^3)*C357))</f>
        <v>0</v>
      </c>
      <c r="AO357" s="323">
        <f>IF(J357="Angiv ikke",0,((1+M357)*VLOOKUP(B357&amp;"_"&amp;J357,'LCA data'!$B$7:$X$360,20,FALSE)*(K357*10^3)*C357))</f>
        <v>0</v>
      </c>
      <c r="AP357" s="323"/>
      <c r="AQ357" s="323"/>
      <c r="AR357" s="323">
        <f>IF(E357="Angiv ikke",0,((1+H357)*VLOOKUP(B357&amp;"_"&amp;E357,'LCA data'!$B$7:$AA$360,26,FALSE)*(F357*10^3)*C357))</f>
        <v>0</v>
      </c>
      <c r="AS357" s="323">
        <f>IF(J357="Angiv ikke",0,((1+M357)*VLOOKUP(B357&amp;"_"&amp;J357,'LCA data'!$B$7:$AA$360,26,FALSE)*(K357*10^3)*C357))</f>
        <v>0</v>
      </c>
      <c r="AT357" s="323"/>
      <c r="AU357" s="323"/>
      <c r="AV357" s="323"/>
      <c r="AW357" s="323"/>
      <c r="AX357" s="323"/>
      <c r="AY357" s="323"/>
      <c r="AZ357" s="323"/>
      <c r="BA357" s="323"/>
      <c r="BB357" s="323"/>
      <c r="BC357" s="323"/>
      <c r="BD357" s="323"/>
      <c r="BE357" s="323"/>
      <c r="BF357" s="323"/>
      <c r="BG357" s="323"/>
      <c r="BH357" s="323"/>
      <c r="BI357" s="323"/>
      <c r="BJ357" s="323"/>
      <c r="BK357" s="323"/>
      <c r="BL357" s="323"/>
      <c r="BM357" s="323"/>
      <c r="BN357" s="323"/>
      <c r="BO357" s="323"/>
      <c r="BP357" s="323"/>
      <c r="BQ357" s="323"/>
      <c r="BR357" s="323"/>
      <c r="BS357" s="323"/>
      <c r="BT357" s="323"/>
      <c r="BU357" s="323"/>
      <c r="BV357" s="323"/>
      <c r="BW357" s="323"/>
      <c r="BX357" s="323"/>
      <c r="BY357" s="323"/>
      <c r="BZ357" s="323"/>
      <c r="CA357" s="323"/>
      <c r="CB357" s="323"/>
      <c r="CC357" s="323"/>
      <c r="CD357" s="323"/>
      <c r="CE357" s="323"/>
      <c r="CF357" s="323"/>
      <c r="CG357" s="323"/>
      <c r="CH357" s="323"/>
      <c r="CI357" s="323"/>
      <c r="CJ357" s="323"/>
      <c r="CK357" s="323"/>
      <c r="CL357" s="323"/>
      <c r="CM357" s="323"/>
      <c r="CN357" s="323"/>
      <c r="CO357" s="323"/>
      <c r="CP357" s="428"/>
      <c r="CQ357" s="441"/>
      <c r="CR357" s="323"/>
      <c r="CS357" s="323"/>
      <c r="CT357" s="323"/>
      <c r="CU357" s="323"/>
      <c r="CV357" s="323"/>
      <c r="CW357" s="323"/>
      <c r="CX357" s="323"/>
      <c r="CY357" s="323"/>
      <c r="CZ357" s="323"/>
    </row>
    <row r="358" spans="2:222" ht="17.149999999999999" customHeight="1" outlineLevel="1" x14ac:dyDescent="0.35">
      <c r="B358" s="173" t="s">
        <v>128</v>
      </c>
      <c r="C358" s="217"/>
      <c r="E358" s="217"/>
      <c r="F358" s="217"/>
      <c r="G358" s="217"/>
      <c r="H358" s="217"/>
      <c r="J358" s="217"/>
      <c r="K358" s="217"/>
      <c r="L358" s="217"/>
      <c r="M358" s="217"/>
      <c r="N358" s="217"/>
      <c r="O358" s="217"/>
      <c r="P358" s="217"/>
      <c r="Q358" s="217"/>
      <c r="R358" s="217"/>
      <c r="U358" s="251"/>
      <c r="V358" s="251"/>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c r="BM358" s="323"/>
      <c r="BN358" s="323"/>
      <c r="BO358" s="323"/>
      <c r="BP358" s="323"/>
      <c r="BQ358" s="323"/>
      <c r="BR358" s="323"/>
      <c r="BS358" s="323"/>
      <c r="BT358" s="323"/>
      <c r="BU358" s="323"/>
      <c r="BV358" s="323"/>
      <c r="BW358" s="323"/>
      <c r="BX358" s="323"/>
      <c r="BY358" s="323"/>
      <c r="BZ358" s="323"/>
      <c r="CA358" s="323"/>
      <c r="CB358" s="323"/>
      <c r="CC358" s="323"/>
      <c r="CD358" s="323"/>
      <c r="CE358" s="323"/>
      <c r="CF358" s="323"/>
      <c r="CG358" s="323"/>
      <c r="CH358" s="323"/>
      <c r="CI358" s="323"/>
      <c r="CJ358" s="323"/>
      <c r="CK358" s="323"/>
      <c r="CL358" s="323"/>
      <c r="CM358" s="323"/>
      <c r="CN358" s="323"/>
      <c r="CO358" s="323"/>
      <c r="CP358" s="439"/>
      <c r="CQ358" s="446"/>
      <c r="CR358" s="323"/>
      <c r="CS358" s="323"/>
      <c r="CT358" s="323"/>
      <c r="CU358" s="323"/>
      <c r="CV358" s="323"/>
      <c r="CW358" s="323"/>
      <c r="CX358" s="323"/>
      <c r="CY358" s="323"/>
      <c r="CZ358" s="323"/>
    </row>
    <row r="359" spans="2:222" ht="18.75" customHeight="1" x14ac:dyDescent="0.35">
      <c r="B359" s="542"/>
      <c r="C359" s="542"/>
      <c r="D359" s="542"/>
      <c r="E359" s="542"/>
      <c r="F359" s="542"/>
      <c r="G359" s="542"/>
      <c r="H359" s="542"/>
      <c r="I359" s="542"/>
      <c r="J359" s="542"/>
      <c r="K359" s="542"/>
      <c r="L359" s="542"/>
      <c r="M359" s="542"/>
      <c r="R359" s="217"/>
      <c r="S359" s="217"/>
      <c r="U359" s="251"/>
      <c r="V359" s="251"/>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c r="BN359" s="323"/>
      <c r="BO359" s="323"/>
      <c r="BP359" s="323"/>
      <c r="BQ359" s="323"/>
      <c r="BR359" s="323"/>
      <c r="BS359" s="323"/>
      <c r="BT359" s="323"/>
      <c r="BU359" s="323"/>
      <c r="BV359" s="323"/>
      <c r="BW359" s="323"/>
      <c r="BX359" s="323"/>
      <c r="BY359" s="323"/>
      <c r="BZ359" s="323"/>
      <c r="CA359" s="323"/>
      <c r="CB359" s="323"/>
      <c r="CC359" s="323"/>
      <c r="CD359" s="323"/>
      <c r="CE359" s="323"/>
      <c r="CF359" s="323"/>
      <c r="CG359" s="323"/>
      <c r="CH359" s="323"/>
      <c r="CI359" s="323"/>
      <c r="CJ359" s="323"/>
      <c r="CK359" s="323"/>
      <c r="CL359" s="323"/>
      <c r="CM359" s="323"/>
      <c r="CN359" s="323"/>
      <c r="CO359" s="323"/>
      <c r="CP359" s="439"/>
      <c r="CQ359" s="440"/>
      <c r="CR359" s="323"/>
      <c r="CS359" s="323"/>
      <c r="CT359" s="323"/>
      <c r="CU359" s="323"/>
      <c r="CV359" s="323"/>
      <c r="CW359" s="323"/>
      <c r="CX359" s="323"/>
      <c r="CY359" s="323"/>
      <c r="CZ359" s="323"/>
    </row>
    <row r="360" spans="2:222" ht="29.25" hidden="1" customHeight="1" outlineLevel="1" x14ac:dyDescent="0.7">
      <c r="B360" s="493" t="s">
        <v>112</v>
      </c>
      <c r="C360" s="499"/>
      <c r="D360" s="499"/>
      <c r="E360" s="506" t="s">
        <v>39</v>
      </c>
      <c r="F360" s="499"/>
      <c r="G360" s="499"/>
      <c r="H360" s="499"/>
      <c r="I360" s="500" t="str">
        <f>"Skillevægstype"&amp;" "&amp;3</f>
        <v>Skillevægstype 3</v>
      </c>
      <c r="J360" s="500"/>
      <c r="K360" s="499"/>
      <c r="L360" s="499"/>
      <c r="M360" s="499"/>
      <c r="N360" s="499"/>
      <c r="O360" s="499"/>
      <c r="P360" s="499"/>
      <c r="Q360" s="501"/>
      <c r="R360" s="409"/>
      <c r="S360" s="191"/>
      <c r="U360" s="251"/>
      <c r="V360" s="251"/>
      <c r="W360" s="323">
        <f>IF(D363=$D$82,1,0)</f>
        <v>1</v>
      </c>
      <c r="X360" s="323">
        <f>IF(I363=$D$82,1,0)</f>
        <v>1</v>
      </c>
      <c r="Y360" s="323"/>
      <c r="Z360" s="323"/>
      <c r="AA360" s="323"/>
      <c r="AB360" s="323"/>
      <c r="AC360" s="323"/>
      <c r="AD360" s="323"/>
      <c r="AE360" s="323"/>
      <c r="AF360" s="323"/>
      <c r="AG360" s="323"/>
      <c r="AH360" s="323"/>
      <c r="AI360" s="323"/>
      <c r="AJ360" s="323" t="s">
        <v>746</v>
      </c>
      <c r="AK360" s="323" t="s">
        <v>747</v>
      </c>
      <c r="AL360" s="323"/>
      <c r="AM360" s="323"/>
      <c r="AN360" s="323" t="s">
        <v>846</v>
      </c>
      <c r="AO360" s="323"/>
      <c r="AP360" s="323"/>
      <c r="AQ360" s="323"/>
      <c r="AR360" s="323" t="s">
        <v>851</v>
      </c>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c r="BN360" s="323"/>
      <c r="BO360" s="323"/>
      <c r="BP360" s="323"/>
      <c r="BQ360" s="323"/>
      <c r="BR360" s="323"/>
      <c r="BS360" s="323"/>
      <c r="BT360" s="323"/>
      <c r="BU360" s="323"/>
      <c r="BV360" s="323"/>
      <c r="BW360" s="323"/>
      <c r="BX360" s="323"/>
      <c r="BY360" s="323"/>
      <c r="BZ360" s="323"/>
      <c r="CA360" s="323"/>
      <c r="CB360" s="323"/>
      <c r="CC360" s="323"/>
      <c r="CD360" s="323"/>
      <c r="CE360" s="323"/>
      <c r="CF360" s="323"/>
      <c r="CG360" s="323"/>
      <c r="CH360" s="323"/>
      <c r="CI360" s="323"/>
      <c r="CJ360" s="323"/>
      <c r="CK360" s="323"/>
      <c r="CL360" s="323"/>
      <c r="CM360" s="323"/>
      <c r="CN360" s="323"/>
      <c r="CO360" s="323"/>
      <c r="CP360" s="447"/>
      <c r="CQ360" s="448"/>
      <c r="CR360" s="323"/>
      <c r="CS360" s="323"/>
      <c r="CT360" s="323"/>
      <c r="CU360" s="323"/>
      <c r="CV360" s="323"/>
      <c r="CW360" s="323"/>
      <c r="CX360" s="323"/>
      <c r="CY360" s="323"/>
      <c r="CZ360" s="323"/>
    </row>
    <row r="361" spans="2:222" ht="40.4" hidden="1" customHeight="1" outlineLevel="1" x14ac:dyDescent="0.35">
      <c r="B361" s="359" t="s">
        <v>78</v>
      </c>
      <c r="C361" s="195" t="s">
        <v>80</v>
      </c>
      <c r="D361" s="910" t="s">
        <v>4</v>
      </c>
      <c r="E361" s="911"/>
      <c r="F361" s="911"/>
      <c r="G361" s="911"/>
      <c r="H361" s="912"/>
      <c r="I361" s="885" t="s">
        <v>5</v>
      </c>
      <c r="J361" s="886"/>
      <c r="K361" s="886"/>
      <c r="L361" s="886"/>
      <c r="M361" s="887"/>
      <c r="N361" s="877" t="s">
        <v>79</v>
      </c>
      <c r="O361" s="877"/>
      <c r="P361" s="877"/>
      <c r="Q361" s="881"/>
      <c r="R361" s="192"/>
      <c r="S361" s="193"/>
      <c r="T361" s="175"/>
      <c r="U361" s="251"/>
      <c r="V361" s="251"/>
      <c r="W361" s="323"/>
      <c r="X361" s="323"/>
      <c r="Y361" s="323"/>
      <c r="Z361" s="323"/>
      <c r="AA361" s="323"/>
      <c r="AB361" s="323"/>
      <c r="AC361" s="323"/>
      <c r="AD361" s="323"/>
      <c r="AE361" s="323"/>
      <c r="AF361" s="323"/>
      <c r="AG361" s="323"/>
      <c r="AH361" s="323"/>
      <c r="AI361" s="323" t="str">
        <f>'LCA data'!$B$65</f>
        <v>Indvendig beklædning</v>
      </c>
      <c r="AJ361" s="323">
        <f>(VLOOKUP(E364,Pris.indvendig.beklædning[],2,0))*C364</f>
        <v>0</v>
      </c>
      <c r="AK361" s="323">
        <f>(VLOOKUP(J364,Pris.indvendig.beklædning[],2,0))*C364</f>
        <v>0</v>
      </c>
      <c r="AL361" s="323"/>
      <c r="AM361" s="323"/>
      <c r="AN361" s="323" t="s">
        <v>4</v>
      </c>
      <c r="AO361" s="323" t="s">
        <v>5</v>
      </c>
      <c r="AP361" s="323"/>
      <c r="AQ361" s="323"/>
      <c r="AR361" s="323" t="s">
        <v>4</v>
      </c>
      <c r="AS361" s="323" t="s">
        <v>5</v>
      </c>
      <c r="AT361" s="323"/>
      <c r="AU361" s="323"/>
      <c r="AV361" s="323"/>
      <c r="AW361" s="323"/>
      <c r="AX361" s="323"/>
      <c r="AY361" s="323"/>
      <c r="AZ361" s="323"/>
      <c r="BA361" s="323"/>
      <c r="BB361" s="323"/>
      <c r="BC361" s="323"/>
      <c r="BD361" s="323"/>
      <c r="BE361" s="323"/>
      <c r="BF361" s="323"/>
      <c r="BG361" s="323"/>
      <c r="BH361" s="323"/>
      <c r="BI361" s="323"/>
      <c r="BJ361" s="323"/>
      <c r="BK361" s="323"/>
      <c r="BL361" s="323"/>
      <c r="BM361" s="323"/>
      <c r="BN361" s="323"/>
      <c r="BO361" s="323"/>
      <c r="BP361" s="323"/>
      <c r="BQ361" s="323"/>
      <c r="BR361" s="323"/>
      <c r="BS361" s="323"/>
      <c r="BT361" s="323"/>
      <c r="BU361" s="323"/>
      <c r="BV361" s="323"/>
      <c r="BW361" s="323"/>
      <c r="BX361" s="323"/>
      <c r="BY361" s="323"/>
      <c r="BZ361" s="323"/>
      <c r="CA361" s="323"/>
      <c r="CB361" s="323"/>
      <c r="CC361" s="323"/>
      <c r="CD361" s="323"/>
      <c r="CE361" s="323"/>
      <c r="CF361" s="323"/>
      <c r="CG361" s="323"/>
      <c r="CH361" s="323"/>
      <c r="CI361" s="323"/>
      <c r="CJ361" s="323"/>
      <c r="CK361" s="323"/>
      <c r="CL361" s="323"/>
      <c r="CM361" s="323"/>
      <c r="CN361" s="323"/>
      <c r="CO361" s="323"/>
      <c r="CP361" s="439"/>
      <c r="CQ361" s="440"/>
      <c r="CR361" s="323"/>
      <c r="CS361" s="323"/>
      <c r="CT361" s="323"/>
      <c r="CU361" s="323"/>
      <c r="CV361" s="323"/>
      <c r="CW361" s="323"/>
      <c r="CX361" s="323"/>
      <c r="CY361" s="323"/>
      <c r="CZ361" s="323"/>
    </row>
    <row r="362" spans="2:222" ht="47.15" hidden="1" customHeight="1" outlineLevel="1" x14ac:dyDescent="0.35">
      <c r="B362" s="194"/>
      <c r="C362" s="665">
        <v>0</v>
      </c>
      <c r="D362" s="908" t="s">
        <v>797</v>
      </c>
      <c r="E362" s="909"/>
      <c r="F362" s="338" t="s">
        <v>82</v>
      </c>
      <c r="G362" s="338"/>
      <c r="H362" s="346" t="s">
        <v>84</v>
      </c>
      <c r="I362" s="913" t="s">
        <v>797</v>
      </c>
      <c r="J362" s="914"/>
      <c r="K362" s="479" t="s">
        <v>82</v>
      </c>
      <c r="L362" s="479"/>
      <c r="M362" s="508" t="s">
        <v>84</v>
      </c>
      <c r="N362" s="195" t="s">
        <v>4</v>
      </c>
      <c r="O362" s="195" t="s">
        <v>85</v>
      </c>
      <c r="P362" s="195" t="s">
        <v>5</v>
      </c>
      <c r="Q362" s="357" t="s">
        <v>86</v>
      </c>
      <c r="R362" s="192"/>
      <c r="S362" s="196"/>
      <c r="U362" s="251"/>
      <c r="V362" s="251"/>
      <c r="W362" s="323" t="s">
        <v>87</v>
      </c>
      <c r="X362" s="323" t="s">
        <v>88</v>
      </c>
      <c r="Y362" s="323"/>
      <c r="Z362" s="323"/>
      <c r="AA362" s="323" t="s">
        <v>91</v>
      </c>
      <c r="AB362" s="323"/>
      <c r="AC362" s="323"/>
      <c r="AD362" s="323"/>
      <c r="AE362" s="323" t="s">
        <v>92</v>
      </c>
      <c r="AF362" s="323"/>
      <c r="AG362" s="323"/>
      <c r="AH362" s="323"/>
      <c r="AI362" s="323" t="str">
        <f>'LCA data'!$B$32</f>
        <v>Isolering</v>
      </c>
      <c r="AJ362" s="323">
        <f>VLOOKUP(E365,Pris.isolering[],2,0)*F365*C365</f>
        <v>0</v>
      </c>
      <c r="AK362" s="323">
        <f>VLOOKUP(J365,Pris.isolering[],2,0)*K365*C365</f>
        <v>0</v>
      </c>
      <c r="AL362" s="323"/>
      <c r="AM362" s="323"/>
      <c r="AN362" s="323">
        <f>SUM(AN364:AN368)</f>
        <v>0</v>
      </c>
      <c r="AO362" s="323">
        <f>SUM(AO364:AO368)</f>
        <v>0</v>
      </c>
      <c r="AP362" s="323"/>
      <c r="AQ362" s="323"/>
      <c r="AR362" s="323">
        <f>SUM(AR364:AR367)</f>
        <v>0</v>
      </c>
      <c r="AS362" s="323">
        <f>SUM(AS364:AS367)</f>
        <v>0</v>
      </c>
      <c r="AT362" s="323"/>
      <c r="AU362" s="323"/>
      <c r="AV362" s="323"/>
      <c r="AW362" s="323"/>
      <c r="AX362" s="323"/>
      <c r="AY362" s="323"/>
      <c r="AZ362" s="323"/>
      <c r="BA362" s="323"/>
      <c r="BB362" s="323"/>
      <c r="BC362" s="323"/>
      <c r="BD362" s="323"/>
      <c r="BE362" s="323"/>
      <c r="BF362" s="323"/>
      <c r="BG362" s="323"/>
      <c r="BH362" s="323"/>
      <c r="BI362" s="323"/>
      <c r="BJ362" s="323"/>
      <c r="BK362" s="323"/>
      <c r="BL362" s="323"/>
      <c r="BM362" s="323"/>
      <c r="BN362" s="323"/>
      <c r="BO362" s="323"/>
      <c r="BP362" s="323"/>
      <c r="BQ362" s="323"/>
      <c r="BR362" s="323"/>
      <c r="BS362" s="323"/>
      <c r="BT362" s="323"/>
      <c r="BU362" s="323"/>
      <c r="BV362" s="323"/>
      <c r="BW362" s="323"/>
      <c r="BX362" s="323"/>
      <c r="BY362" s="323"/>
      <c r="BZ362" s="323"/>
      <c r="CA362" s="323"/>
      <c r="CB362" s="323"/>
      <c r="CC362" s="323"/>
      <c r="CD362" s="323"/>
      <c r="CE362" s="323"/>
      <c r="CF362" s="323"/>
      <c r="CG362" s="323"/>
      <c r="CH362" s="323"/>
      <c r="CI362" s="323"/>
      <c r="CJ362" s="323"/>
      <c r="CK362" s="323"/>
      <c r="CL362" s="323"/>
      <c r="CM362" s="323"/>
      <c r="CN362" s="323"/>
      <c r="CO362" s="323"/>
      <c r="CP362" s="439"/>
      <c r="CQ362" s="440"/>
      <c r="CR362" s="323"/>
      <c r="CS362" s="323"/>
      <c r="CT362" s="323"/>
      <c r="CU362" s="323"/>
      <c r="CV362" s="323"/>
      <c r="CW362" s="323"/>
      <c r="CX362" s="323"/>
      <c r="CY362" s="323"/>
      <c r="CZ362" s="323"/>
    </row>
    <row r="363" spans="2:222" s="198" customFormat="1" ht="26" hidden="1" customHeight="1" outlineLevel="1" x14ac:dyDescent="0.35">
      <c r="B363" s="199"/>
      <c r="C363" s="410" t="s">
        <v>801</v>
      </c>
      <c r="D363" s="915" t="s">
        <v>811</v>
      </c>
      <c r="E363" s="915"/>
      <c r="F363" s="347" t="s">
        <v>94</v>
      </c>
      <c r="G363" s="348"/>
      <c r="H363" s="349" t="s">
        <v>96</v>
      </c>
      <c r="I363" s="915" t="s">
        <v>811</v>
      </c>
      <c r="J363" s="915"/>
      <c r="K363" s="510" t="s">
        <v>94</v>
      </c>
      <c r="L363" s="511"/>
      <c r="M363" s="512" t="s">
        <v>96</v>
      </c>
      <c r="N363" s="201" t="s">
        <v>97</v>
      </c>
      <c r="O363" s="201" t="s">
        <v>97</v>
      </c>
      <c r="P363" s="201" t="s">
        <v>97</v>
      </c>
      <c r="Q363" s="358" t="s">
        <v>97</v>
      </c>
      <c r="R363" s="202"/>
      <c r="S363" s="203"/>
      <c r="T363" s="204"/>
      <c r="U363" s="325"/>
      <c r="V363" s="325"/>
      <c r="W363" s="323">
        <f>SUM(W364:W368)</f>
        <v>0</v>
      </c>
      <c r="X363" s="323">
        <f>SUM(X364:X368)</f>
        <v>0</v>
      </c>
      <c r="Y363" s="323"/>
      <c r="Z363" s="323"/>
      <c r="AA363" s="323"/>
      <c r="AB363" s="323" t="s">
        <v>111</v>
      </c>
      <c r="AC363" s="323"/>
      <c r="AD363" s="323" t="s">
        <v>99</v>
      </c>
      <c r="AE363" s="323" t="s">
        <v>100</v>
      </c>
      <c r="AF363" s="323"/>
      <c r="AG363" s="323"/>
      <c r="AH363" s="323"/>
      <c r="AI363" s="323" t="str">
        <f>'LCA data'!$B$201</f>
        <v>Skillevægskonstruktion</v>
      </c>
      <c r="AJ363" s="323">
        <f>VLOOKUP(E366,Pris.væg.konstruktion[],2,0)*C366</f>
        <v>0</v>
      </c>
      <c r="AK363" s="323">
        <f>VLOOKUP(J366,Pris.væg.konstruktion[],2,0)*C366</f>
        <v>0</v>
      </c>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c r="BM363" s="323"/>
      <c r="BN363" s="323"/>
      <c r="BO363" s="323"/>
      <c r="BP363" s="323"/>
      <c r="BQ363" s="323"/>
      <c r="BR363" s="323"/>
      <c r="BS363" s="323"/>
      <c r="BT363" s="323"/>
      <c r="BU363" s="323"/>
      <c r="BV363" s="323"/>
      <c r="BW363" s="323"/>
      <c r="BX363" s="323"/>
      <c r="BY363" s="323"/>
      <c r="BZ363" s="323"/>
      <c r="CA363" s="323"/>
      <c r="CB363" s="323"/>
      <c r="CC363" s="323"/>
      <c r="CD363" s="323"/>
      <c r="CE363" s="323"/>
      <c r="CF363" s="323"/>
      <c r="CG363" s="323"/>
      <c r="CH363" s="323"/>
      <c r="CI363" s="323"/>
      <c r="CJ363" s="323"/>
      <c r="CK363" s="323"/>
      <c r="CL363" s="323"/>
      <c r="CM363" s="323"/>
      <c r="CN363" s="323"/>
      <c r="CO363" s="323"/>
      <c r="CP363" s="439"/>
      <c r="CQ363" s="440"/>
      <c r="CR363" s="323"/>
      <c r="CS363" s="323"/>
      <c r="CT363" s="323"/>
      <c r="CU363" s="323"/>
      <c r="CV363" s="323"/>
      <c r="CW363" s="323"/>
      <c r="CX363" s="323"/>
      <c r="CY363" s="323"/>
      <c r="CZ363" s="323"/>
      <c r="DA363" s="325"/>
      <c r="DB363" s="325"/>
      <c r="DC363" s="325"/>
      <c r="DD363" s="325"/>
      <c r="DE363" s="325"/>
      <c r="DF363" s="325"/>
      <c r="DG363" s="325"/>
      <c r="DH363" s="325"/>
      <c r="DI363" s="325"/>
      <c r="DJ363" s="325"/>
      <c r="DK363" s="325"/>
      <c r="DL363" s="325"/>
      <c r="DM363" s="325"/>
      <c r="DN363" s="325"/>
      <c r="DO363" s="325"/>
      <c r="DP363" s="325"/>
      <c r="DQ363" s="325"/>
      <c r="DR363" s="325"/>
      <c r="DS363" s="325"/>
      <c r="DT363" s="325"/>
      <c r="DU363" s="325"/>
      <c r="DV363" s="325"/>
      <c r="DW363" s="325"/>
      <c r="DX363" s="325"/>
      <c r="DY363" s="325"/>
      <c r="DZ363" s="325"/>
      <c r="EA363" s="325"/>
      <c r="EB363" s="325"/>
      <c r="EC363" s="325"/>
      <c r="ED363" s="325"/>
      <c r="EE363" s="325"/>
      <c r="EF363" s="325"/>
      <c r="EG363" s="325"/>
      <c r="EH363" s="325"/>
      <c r="EI363" s="325"/>
      <c r="EJ363" s="325"/>
      <c r="EK363" s="325"/>
      <c r="EL363" s="325"/>
      <c r="EM363" s="325"/>
      <c r="EN363" s="325"/>
      <c r="EO363" s="325"/>
      <c r="EP363" s="325"/>
      <c r="EQ363" s="325"/>
      <c r="ER363" s="325"/>
      <c r="ES363" s="325"/>
      <c r="ET363" s="325"/>
      <c r="EU363" s="325"/>
      <c r="EV363" s="325"/>
      <c r="EW363" s="325"/>
      <c r="EX363" s="325"/>
      <c r="EY363" s="325"/>
      <c r="EZ363" s="325"/>
      <c r="FA363" s="325"/>
      <c r="FB363" s="325"/>
      <c r="FC363" s="325"/>
      <c r="FD363" s="325"/>
      <c r="FE363" s="325"/>
      <c r="FF363" s="325"/>
      <c r="FG363" s="325"/>
      <c r="FH363" s="325"/>
      <c r="FI363" s="325"/>
      <c r="FJ363" s="325"/>
      <c r="FK363" s="325"/>
      <c r="FL363" s="325"/>
      <c r="FM363" s="325"/>
      <c r="FN363" s="325"/>
      <c r="FO363" s="325"/>
      <c r="FP363" s="325"/>
      <c r="FQ363" s="325"/>
      <c r="FR363" s="325"/>
      <c r="FS363" s="325"/>
      <c r="FT363" s="325"/>
      <c r="FU363" s="325"/>
      <c r="FV363" s="325"/>
      <c r="FW363" s="325"/>
      <c r="FX363" s="325"/>
      <c r="FY363" s="325"/>
      <c r="FZ363" s="325"/>
      <c r="GA363" s="325"/>
      <c r="GB363" s="325"/>
      <c r="GC363" s="325"/>
      <c r="GD363" s="325"/>
      <c r="GE363" s="325"/>
      <c r="GF363" s="325"/>
      <c r="GG363" s="325"/>
      <c r="GH363" s="325"/>
      <c r="GI363" s="325"/>
      <c r="GJ363" s="325"/>
      <c r="GK363" s="325"/>
      <c r="GL363" s="325"/>
      <c r="GM363" s="325"/>
      <c r="GN363" s="325"/>
      <c r="GO363" s="325"/>
      <c r="GP363" s="325"/>
      <c r="GQ363" s="325"/>
      <c r="GR363" s="325"/>
      <c r="GS363" s="325"/>
      <c r="GT363" s="325"/>
      <c r="GU363" s="325"/>
      <c r="GV363" s="325"/>
      <c r="GW363" s="325"/>
      <c r="GX363" s="325"/>
      <c r="GY363" s="325"/>
      <c r="GZ363" s="325"/>
      <c r="HA363" s="325"/>
      <c r="HB363" s="325"/>
      <c r="HC363" s="325"/>
      <c r="HD363" s="325"/>
      <c r="HE363" s="325"/>
      <c r="HF363" s="325"/>
      <c r="HG363" s="325"/>
      <c r="HH363" s="325"/>
      <c r="HI363" s="325"/>
      <c r="HJ363" s="325"/>
      <c r="HK363" s="325"/>
      <c r="HL363" s="325"/>
      <c r="HM363" s="325"/>
      <c r="HN363" s="325"/>
    </row>
    <row r="364" spans="2:222" ht="40.4" hidden="1" customHeight="1" outlineLevel="1" x14ac:dyDescent="0.35">
      <c r="B364" s="363" t="str">
        <f>'LCA data'!$B$65</f>
        <v>Indvendig beklædning</v>
      </c>
      <c r="C364" s="470">
        <f>$C$362*$C$46</f>
        <v>0</v>
      </c>
      <c r="D364" s="15" t="s">
        <v>103</v>
      </c>
      <c r="E364" s="342" t="str">
        <f>IF($D$363=$D$82,D364,VLOOKUP(B364,Auto_Skillevæg[],VLOOKUP($D$363,Type_Tung_Middel_Let[],2,0),0))</f>
        <v>Angiv ikke</v>
      </c>
      <c r="F364" s="476">
        <f>(VLOOKUP(E364,Pris.indvendig.beklædning[],4,0))/1000</f>
        <v>0</v>
      </c>
      <c r="G364" s="350"/>
      <c r="H364" s="351" t="str">
        <f>IFERROR(IF(VLOOKUP(B364&amp;"_"&amp;E364,'LCA data'!$B$7:$X$200,2,FALSE)&lt;$Y$24,1,0)+IF(VLOOKUP(B364&amp;"_"&amp;E364,'LCA data'!$B$7:$X$200,2,FALSE)*2&lt;$Y$24,1,0),"")</f>
        <v/>
      </c>
      <c r="I364" s="15" t="s">
        <v>103</v>
      </c>
      <c r="J364" s="342" t="str">
        <f>IF($I$363=$D$82,I364,VLOOKUP(B364,Auto_Skillevæg[],VLOOKUP($I$363,Type_Tung_Middel_Let[],2,0),0))</f>
        <v>Angiv ikke</v>
      </c>
      <c r="K364" s="527">
        <f>(VLOOKUP(J364,Pris.indvendig.beklædning[],4,0))/1000</f>
        <v>0</v>
      </c>
      <c r="L364" s="514"/>
      <c r="M364" s="515" t="str">
        <f>IFERROR(IF(VLOOKUP(B364&amp;"_"&amp;J364,'LCA data'!$B$7:$X$200,2,FALSE)&lt;$Y$24,1,0)+IF(VLOOKUP(B364&amp;"_"&amp;J364,'LCA data'!$B$7:$X$200,2,FALSE)*2&lt;$Y$24,1,0),"")</f>
        <v/>
      </c>
      <c r="N364" s="364">
        <f>W364/1000</f>
        <v>0</v>
      </c>
      <c r="O364" s="880">
        <f>SUM(N364:N368)</f>
        <v>0</v>
      </c>
      <c r="P364" s="365">
        <f>X364/1000</f>
        <v>0</v>
      </c>
      <c r="Q364" s="888">
        <f>SUM(P364:P368)</f>
        <v>0</v>
      </c>
      <c r="R364" s="192"/>
      <c r="S364" s="196"/>
      <c r="U364" s="251"/>
      <c r="V364" s="251"/>
      <c r="W364" s="323">
        <f>IF(E364="Angiv ikke",0,((1+H364)*VLOOKUP(B364&amp;"_"&amp;E364,'LCA data'!$B$7:$X$360,19,FALSE)*(F364*10^3)*C364))</f>
        <v>0</v>
      </c>
      <c r="X364" s="323">
        <f>IF(J364="Angiv ikke",0,((1+M364)*VLOOKUP(B364&amp;"_"&amp;J364,'LCA data'!$B$7:$X$360,19,FALSE)*(K364*10^3)*C364))</f>
        <v>0</v>
      </c>
      <c r="Y364" s="323"/>
      <c r="Z364" s="323"/>
      <c r="AA364" s="323" t="s">
        <v>4</v>
      </c>
      <c r="AB364" s="323">
        <f>AF364/$J$21/$Y$24*1000</f>
        <v>0</v>
      </c>
      <c r="AC364" s="323"/>
      <c r="AD364" s="323">
        <f>AB364+AC364</f>
        <v>0</v>
      </c>
      <c r="AE364" s="323" t="s">
        <v>4</v>
      </c>
      <c r="AF364" s="323">
        <f>W363/1000</f>
        <v>0</v>
      </c>
      <c r="AG364" s="323"/>
      <c r="AH364" s="323"/>
      <c r="AI364" s="323" t="str">
        <f>'LCA data'!$B$65</f>
        <v>Indvendig beklædning</v>
      </c>
      <c r="AJ364" s="323">
        <f>(VLOOKUP(E367,Pris.indvendig.beklædning[],2,0))*C367</f>
        <v>0</v>
      </c>
      <c r="AK364" s="323">
        <f>(VLOOKUP(J367,Pris.indvendig.beklædning[],2,0))*C367</f>
        <v>0</v>
      </c>
      <c r="AL364" s="323"/>
      <c r="AM364" s="323"/>
      <c r="AN364" s="323">
        <f>IF(E364="Angiv ikke",0,((1+H364)*VLOOKUP(B364&amp;"_"&amp;E364,'LCA data'!$B$7:$X$360,20,FALSE)*(F364*10^3)*C364))</f>
        <v>0</v>
      </c>
      <c r="AO364" s="323">
        <f>IF(J364="Angiv ikke",0,((1+M364)*VLOOKUP(B364&amp;"_"&amp;J364,'LCA data'!$B$7:$X$360,20,FALSE)*(K364*10^3)*C364))</f>
        <v>0</v>
      </c>
      <c r="AP364" s="323"/>
      <c r="AQ364" s="323"/>
      <c r="AR364" s="323">
        <f>IF(E364="Angiv ikke",0,((1+H364)*VLOOKUP(B364&amp;"_"&amp;E364,'LCA data'!$B$7:$AA$360,26,FALSE)*(F364*10^3)*C364))</f>
        <v>0</v>
      </c>
      <c r="AS364" s="323">
        <f>IF(J364="Angiv ikke",0,((1+M364)*VLOOKUP(B364&amp;"_"&amp;J364,'LCA data'!$B$7:$AA$360,26,FALSE)*(K364*10^3)*C364))</f>
        <v>0</v>
      </c>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c r="BN364" s="323"/>
      <c r="BO364" s="323"/>
      <c r="BP364" s="323"/>
      <c r="BQ364" s="323"/>
      <c r="BR364" s="323"/>
      <c r="BS364" s="323"/>
      <c r="BT364" s="323"/>
      <c r="BU364" s="323"/>
      <c r="BV364" s="323"/>
      <c r="BW364" s="323"/>
      <c r="BX364" s="323"/>
      <c r="BY364" s="323"/>
      <c r="BZ364" s="323"/>
      <c r="CA364" s="323"/>
      <c r="CB364" s="323"/>
      <c r="CC364" s="323"/>
      <c r="CD364" s="323"/>
      <c r="CE364" s="323"/>
      <c r="CF364" s="323"/>
      <c r="CG364" s="323"/>
      <c r="CH364" s="323"/>
      <c r="CI364" s="323"/>
      <c r="CJ364" s="323"/>
      <c r="CK364" s="323"/>
      <c r="CL364" s="323"/>
      <c r="CM364" s="323"/>
      <c r="CN364" s="323"/>
      <c r="CO364" s="323"/>
      <c r="CP364" s="439"/>
      <c r="CQ364" s="440"/>
      <c r="CR364" s="323"/>
      <c r="CS364" s="323"/>
      <c r="CT364" s="323"/>
      <c r="CU364" s="323"/>
      <c r="CV364" s="323"/>
      <c r="CW364" s="323"/>
      <c r="CX364" s="323"/>
      <c r="CY364" s="323"/>
      <c r="CZ364" s="323"/>
    </row>
    <row r="365" spans="2:222" ht="40.4" hidden="1" customHeight="1" outlineLevel="1" x14ac:dyDescent="0.35">
      <c r="B365" s="208" t="str">
        <f>'LCA data'!$B$32</f>
        <v>Isolering</v>
      </c>
      <c r="C365" s="465">
        <f>$C$362*$C$46</f>
        <v>0</v>
      </c>
      <c r="D365" s="168" t="s">
        <v>103</v>
      </c>
      <c r="E365" s="342" t="str">
        <f>IF($D$363=$D$82,D365,VLOOKUP(B365,Auto_Skillevæg[],VLOOKUP($D$363,Type_Tung_Middel_Let[],2,0),0))</f>
        <v>Angiv ikke</v>
      </c>
      <c r="F365" s="172">
        <f>IF(OR(E366="Stålskelet",E366="Træskelet"),0.1,0)</f>
        <v>0</v>
      </c>
      <c r="G365" s="353"/>
      <c r="H365" s="351" t="str">
        <f>IFERROR(IF(VLOOKUP(B365&amp;"_"&amp;E365,'LCA data'!$B$7:$X$200,2,FALSE)&lt;$Y$24,1,0)+IF(VLOOKUP(B365&amp;"_"&amp;E365,'LCA data'!$B$7:$X$200,2,FALSE)*2&lt;$Y$24,1,0),"")</f>
        <v/>
      </c>
      <c r="I365" s="168" t="s">
        <v>103</v>
      </c>
      <c r="J365" s="342" t="str">
        <f>IF($I$363=$D$82,I365,VLOOKUP(B365,Auto_Skillevæg[],VLOOKUP($I$363,Type_Tung_Middel_Let[],2,0),0))</f>
        <v>Angiv ikke</v>
      </c>
      <c r="K365" s="172">
        <f>IF(OR(J366="Stålskelet",J366="Træskelet"),0.1,0)</f>
        <v>0</v>
      </c>
      <c r="L365" s="528"/>
      <c r="M365" s="515" t="str">
        <f>IFERROR(IF(VLOOKUP(B365&amp;"_"&amp;J365,'LCA data'!$B$7:$X$200,2,FALSE)&lt;$Y$24,1,0)+IF(VLOOKUP(B365&amp;"_"&amp;J365,'LCA data'!$B$7:$X$200,2,FALSE)*2&lt;$Y$24,1,0),"")</f>
        <v/>
      </c>
      <c r="N365" s="206">
        <f>W365/1000</f>
        <v>0</v>
      </c>
      <c r="O365" s="878"/>
      <c r="P365" s="207">
        <f>X365/1000</f>
        <v>0</v>
      </c>
      <c r="Q365" s="889"/>
      <c r="R365" s="192"/>
      <c r="S365" s="196"/>
      <c r="U365" s="251"/>
      <c r="V365" s="251"/>
      <c r="W365" s="323">
        <f>IF(E365="Angiv ikke",0,((1+H365)*VLOOKUP(B365&amp;"_"&amp;E365,'LCA data'!$B$7:$X$360,19,FALSE)*(F365*10^3)*C365))</f>
        <v>0</v>
      </c>
      <c r="X365" s="323">
        <f>IF(J365="Angiv ikke",0,((1+M365)*VLOOKUP(B365&amp;"_"&amp;J365,'LCA data'!$B$7:$X$360,19,FALSE)*(K365*10^3)*C365))</f>
        <v>0</v>
      </c>
      <c r="Y365" s="323"/>
      <c r="Z365" s="323"/>
      <c r="AA365" s="323" t="s">
        <v>5</v>
      </c>
      <c r="AB365" s="323">
        <f>AG365/$J$21/$Y$24*1000</f>
        <v>0</v>
      </c>
      <c r="AC365" s="323"/>
      <c r="AD365" s="323">
        <f>AB365+AC365</f>
        <v>0</v>
      </c>
      <c r="AE365" s="323" t="s">
        <v>5</v>
      </c>
      <c r="AF365" s="323"/>
      <c r="AG365" s="323">
        <f>X363/1000</f>
        <v>0</v>
      </c>
      <c r="AH365" s="323"/>
      <c r="AI365" s="323" t="s">
        <v>743</v>
      </c>
      <c r="AJ365" s="323">
        <f>SUM(AJ361:AJ364)</f>
        <v>0</v>
      </c>
      <c r="AK365" s="323">
        <f>SUM(AK361:AK364)</f>
        <v>0</v>
      </c>
      <c r="AL365" s="323"/>
      <c r="AM365" s="323"/>
      <c r="AN365" s="323">
        <f>IF(E365="Angiv ikke",0,((1+H365)*VLOOKUP(B365&amp;"_"&amp;E365,'LCA data'!$B$7:$X$360,20,FALSE)*(F365*10^3)*C365))</f>
        <v>0</v>
      </c>
      <c r="AO365" s="323">
        <f>IF(J365="Angiv ikke",0,((1+M365)*VLOOKUP(B365&amp;"_"&amp;J365,'LCA data'!$B$7:$X$360,20,FALSE)*(K365*10^3)*C365))</f>
        <v>0</v>
      </c>
      <c r="AP365" s="323"/>
      <c r="AQ365" s="323"/>
      <c r="AR365" s="323">
        <f>IF(E365="Angiv ikke",0,((1+H365)*VLOOKUP(B365&amp;"_"&amp;E365,'LCA data'!$B$7:$AA$360,26,FALSE)*(F365*10^3)*C365))</f>
        <v>0</v>
      </c>
      <c r="AS365" s="323">
        <f>IF(J365="Angiv ikke",0,((1+M365)*VLOOKUP(B365&amp;"_"&amp;J365,'LCA data'!$B$7:$AA$360,26,FALSE)*(K365*10^3)*C365))</f>
        <v>0</v>
      </c>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c r="BN365" s="323"/>
      <c r="BO365" s="323"/>
      <c r="BP365" s="323"/>
      <c r="BQ365" s="323"/>
      <c r="BR365" s="323"/>
      <c r="BS365" s="323"/>
      <c r="BT365" s="323"/>
      <c r="BU365" s="323"/>
      <c r="BV365" s="323"/>
      <c r="BW365" s="323"/>
      <c r="BX365" s="323"/>
      <c r="BY365" s="323"/>
      <c r="BZ365" s="323"/>
      <c r="CA365" s="323"/>
      <c r="CB365" s="323"/>
      <c r="CC365" s="323"/>
      <c r="CD365" s="323"/>
      <c r="CE365" s="323"/>
      <c r="CF365" s="323"/>
      <c r="CG365" s="323"/>
      <c r="CH365" s="323"/>
      <c r="CI365" s="323"/>
      <c r="CJ365" s="323"/>
      <c r="CK365" s="323"/>
      <c r="CL365" s="323"/>
      <c r="CM365" s="323"/>
      <c r="CN365" s="323"/>
      <c r="CO365" s="323"/>
      <c r="CP365" s="439"/>
      <c r="CQ365" s="440"/>
      <c r="CR365" s="323"/>
      <c r="CS365" s="323"/>
      <c r="CT365" s="323"/>
      <c r="CU365" s="323"/>
      <c r="CV365" s="323"/>
      <c r="CW365" s="323"/>
      <c r="CX365" s="323"/>
      <c r="CY365" s="323"/>
      <c r="CZ365" s="323"/>
    </row>
    <row r="366" spans="2:222" ht="40.4" hidden="1" customHeight="1" outlineLevel="1" x14ac:dyDescent="0.35">
      <c r="B366" s="205" t="str">
        <f>'LCA data'!$B$201</f>
        <v>Skillevægskonstruktion</v>
      </c>
      <c r="C366" s="465">
        <f>$C$362*$C$46</f>
        <v>0</v>
      </c>
      <c r="D366" s="169" t="s">
        <v>103</v>
      </c>
      <c r="E366" s="342" t="str">
        <f>IF($D$363=$D$82,D366,VLOOKUP(B366,Auto_Skillevæg[],VLOOKUP($D$363,Type_Tung_Middel_Let[],2,0),0))</f>
        <v>Angiv ikke</v>
      </c>
      <c r="F366" s="299">
        <f>IF(OR(E366="Stålskelet",E366="Træskelet"),F365,(VLOOKUP(E366,Pris.Skillevægs.konstruktion[],4,0)/1000))</f>
        <v>0</v>
      </c>
      <c r="G366" s="350"/>
      <c r="H366" s="351" t="str">
        <f>IFERROR(IF(VLOOKUP(B366&amp;"_"&amp;E366,'LCA data'!$B$7:$X$360,2,FALSE)&lt;$Y$24,1,0)+IF(VLOOKUP(B366&amp;"_"&amp;E366,'LCA data'!$B$7:$X$360,2,FALSE)*2&lt;$Y$24,1,0),"")</f>
        <v/>
      </c>
      <c r="I366" s="169" t="s">
        <v>103</v>
      </c>
      <c r="J366" s="342" t="str">
        <f>IF($I$363=$D$82,I366,VLOOKUP(B366,Auto_Skillevæg[],VLOOKUP($I$363,Type_Tung_Middel_Let[],2,0),0))</f>
        <v>Angiv ikke</v>
      </c>
      <c r="K366" s="299">
        <f>IF(OR(J366="Stålskelet",J366="Træskelet"),K365,(VLOOKUP(J366,Pris.Skillevægs.konstruktion[],4,0)/1000))</f>
        <v>0</v>
      </c>
      <c r="L366" s="514"/>
      <c r="M366" s="515" t="str">
        <f>IFERROR(IF(VLOOKUP(B366&amp;"_"&amp;J366,'LCA data'!$B$7:$X$360,2,FALSE)&lt;$Y$24,1,0)+IF(VLOOKUP(B366&amp;"_"&amp;J366,'LCA data'!$B$7:$X$360,2,FALSE)*2&lt;$Y$24,1,0),"")</f>
        <v/>
      </c>
      <c r="N366" s="206">
        <f>W366/1000</f>
        <v>0</v>
      </c>
      <c r="O366" s="878"/>
      <c r="P366" s="207">
        <f>X366/1000</f>
        <v>0</v>
      </c>
      <c r="Q366" s="889"/>
      <c r="R366" s="192"/>
      <c r="S366" s="196"/>
      <c r="U366" s="251"/>
      <c r="V366" s="251"/>
      <c r="W366" s="323">
        <f>IF(E366="Angiv ikke",0,((1+H366)*VLOOKUP(B366&amp;"_"&amp;E366,'LCA data'!$B$7:$X$360,19,FALSE)*(F366*10^3)*C366))</f>
        <v>0</v>
      </c>
      <c r="X366" s="323">
        <f>IF(J366="Angiv ikke",0,((1+M366)*VLOOKUP(B366&amp;"_"&amp;J366,'LCA data'!$B$7:$X$360,19,FALSE)*(K366*10^3)*C366))</f>
        <v>0</v>
      </c>
      <c r="Y366" s="323"/>
      <c r="Z366" s="323"/>
      <c r="AA366" s="323"/>
      <c r="AB366" s="323"/>
      <c r="AC366" s="323"/>
      <c r="AD366" s="323"/>
      <c r="AE366" s="323"/>
      <c r="AF366" s="323"/>
      <c r="AG366" s="323"/>
      <c r="AH366" s="323"/>
      <c r="AI366" s="323"/>
      <c r="AJ366" s="323"/>
      <c r="AK366" s="323"/>
      <c r="AL366" s="323"/>
      <c r="AM366" s="323"/>
      <c r="AN366" s="323">
        <f>IF(E366="Angiv ikke",0,((1+H366)*VLOOKUP(B366&amp;"_"&amp;E366,'LCA data'!$B$7:$X$360,20,FALSE)*(F366*10^3)*C366))</f>
        <v>0</v>
      </c>
      <c r="AO366" s="323">
        <f>IF(J366="Angiv ikke",0,((1+M366)*VLOOKUP(B366&amp;"_"&amp;J366,'LCA data'!$B$7:$X$360,20,FALSE)*(K366*10^3)*C366))</f>
        <v>0</v>
      </c>
      <c r="AP366" s="323"/>
      <c r="AQ366" s="323"/>
      <c r="AR366" s="323">
        <f>IF(E366="Angiv ikke",0,((1+H366)*VLOOKUP(B366&amp;"_"&amp;E366,'LCA data'!$B$7:$AA$360,26,FALSE)*(F366*10^3)*C366))</f>
        <v>0</v>
      </c>
      <c r="AS366" s="323">
        <f>IF(J366="Angiv ikke",0,((1+M366)*VLOOKUP(B366&amp;"_"&amp;J366,'LCA data'!$B$7:$AA$360,26,FALSE)*(K366*10^3)*C366))</f>
        <v>0</v>
      </c>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3"/>
      <c r="BR366" s="323"/>
      <c r="BS366" s="323"/>
      <c r="BT366" s="323"/>
      <c r="BU366" s="323"/>
      <c r="BV366" s="323"/>
      <c r="BW366" s="323"/>
      <c r="BX366" s="323"/>
      <c r="BY366" s="323"/>
      <c r="BZ366" s="323"/>
      <c r="CA366" s="323"/>
      <c r="CB366" s="323"/>
      <c r="CC366" s="323"/>
      <c r="CD366" s="323"/>
      <c r="CE366" s="323"/>
      <c r="CF366" s="323"/>
      <c r="CG366" s="323"/>
      <c r="CH366" s="323"/>
      <c r="CI366" s="323"/>
      <c r="CJ366" s="323"/>
      <c r="CK366" s="323"/>
      <c r="CL366" s="323"/>
      <c r="CM366" s="323"/>
      <c r="CN366" s="323"/>
      <c r="CO366" s="323"/>
      <c r="CP366" s="428"/>
      <c r="CQ366" s="441"/>
      <c r="CR366" s="323"/>
      <c r="CS366" s="323"/>
      <c r="CT366" s="323"/>
      <c r="CU366" s="323"/>
      <c r="CV366" s="323"/>
      <c r="CW366" s="323"/>
      <c r="CX366" s="323"/>
      <c r="CY366" s="323"/>
      <c r="CZ366" s="323"/>
    </row>
    <row r="367" spans="2:222" ht="40.4" hidden="1" customHeight="1" outlineLevel="1" thickBot="1" x14ac:dyDescent="0.4">
      <c r="B367" s="209" t="str">
        <f>'LCA data'!$B$65</f>
        <v>Indvendig beklædning</v>
      </c>
      <c r="C367" s="471">
        <f>$C$362*$C$46</f>
        <v>0</v>
      </c>
      <c r="D367" s="171" t="s">
        <v>103</v>
      </c>
      <c r="E367" s="382" t="str">
        <f>IF($D$363=$D$82,D367,VLOOKUP(B367,Auto_Skillevæg[],VLOOKUP($D$363,Type_Tung_Middel_Let[],2,0),0))</f>
        <v>Angiv ikke</v>
      </c>
      <c r="F367" s="459">
        <f>(VLOOKUP(E367,Pris.indvendig.beklædning[],4,0))/1000</f>
        <v>0</v>
      </c>
      <c r="G367" s="354"/>
      <c r="H367" s="355" t="str">
        <f>IFERROR(IF(VLOOKUP(B367&amp;"_"&amp;E367,'LCA data'!$B$7:$X$200,2,FALSE)&lt;$Y$24,1,0)+IF(VLOOKUP(B367&amp;"_"&amp;E367,'LCA data'!$B$7:$X$200,2,FALSE)*2&lt;$Y$24,1,0),"")</f>
        <v/>
      </c>
      <c r="I367" s="171" t="s">
        <v>103</v>
      </c>
      <c r="J367" s="382" t="str">
        <f>IF($I$363=$D$82,I367,VLOOKUP(B367,Auto_Skillevæg[],VLOOKUP($I$363,Type_Tung_Middel_Let[],2,0),0))</f>
        <v>Angiv ikke</v>
      </c>
      <c r="K367" s="518">
        <f>(VLOOKUP(J367,Pris.indvendig.beklædning[],4,0))/1000</f>
        <v>0</v>
      </c>
      <c r="L367" s="519"/>
      <c r="M367" s="520" t="str">
        <f>IFERROR(IF(VLOOKUP(B367&amp;"_"&amp;J367,'LCA data'!$B$7:$X$200,2,FALSE)&lt;$Y$24,1,0)+IF(VLOOKUP(B367&amp;"_"&amp;J367,'LCA data'!$B$7:$X$200,2,FALSE)*2&lt;$Y$24,1,0),"")</f>
        <v/>
      </c>
      <c r="N367" s="210">
        <f>W367/1000</f>
        <v>0</v>
      </c>
      <c r="O367" s="879"/>
      <c r="P367" s="211">
        <f>X367/1000</f>
        <v>0</v>
      </c>
      <c r="Q367" s="890"/>
      <c r="R367" s="212"/>
      <c r="S367" s="213"/>
      <c r="U367" s="251"/>
      <c r="V367" s="251"/>
      <c r="W367" s="323">
        <f>IF(E367="Angiv ikke",0,((1+H367)*VLOOKUP(B367&amp;"_"&amp;E367,'LCA data'!$B$7:$X$360,19,FALSE)*(F367*10^3)*C367))</f>
        <v>0</v>
      </c>
      <c r="X367" s="323">
        <f>IF(J367="Angiv ikke",0,((1+M367)*VLOOKUP(B367&amp;"_"&amp;J367,'LCA data'!$B$7:$X$360,19,FALSE)*(K367*10^3)*C367))</f>
        <v>0</v>
      </c>
      <c r="Y367" s="323"/>
      <c r="Z367" s="323"/>
      <c r="AA367" s="323"/>
      <c r="AB367" s="323"/>
      <c r="AC367" s="323"/>
      <c r="AD367" s="323"/>
      <c r="AE367" s="323"/>
      <c r="AF367" s="323"/>
      <c r="AG367" s="323"/>
      <c r="AH367" s="323"/>
      <c r="AI367" s="323"/>
      <c r="AJ367" s="323"/>
      <c r="AK367" s="323"/>
      <c r="AL367" s="323"/>
      <c r="AM367" s="323"/>
      <c r="AN367" s="323">
        <f>IF(E367="Angiv ikke",0,((1+H367)*VLOOKUP(B367&amp;"_"&amp;E367,'LCA data'!$B$7:$X$360,20,FALSE)*(F367*10^3)*C367))</f>
        <v>0</v>
      </c>
      <c r="AO367" s="323">
        <f>IF(J367="Angiv ikke",0,((1+M367)*VLOOKUP(B367&amp;"_"&amp;J367,'LCA data'!$B$7:$X$360,20,FALSE)*(K367*10^3)*C367))</f>
        <v>0</v>
      </c>
      <c r="AP367" s="323"/>
      <c r="AQ367" s="323"/>
      <c r="AR367" s="323">
        <f>IF(E367="Angiv ikke",0,((1+H367)*VLOOKUP(B367&amp;"_"&amp;E367,'LCA data'!$B$7:$AA$360,26,FALSE)*(F367*10^3)*C367))</f>
        <v>0</v>
      </c>
      <c r="AS367" s="323">
        <f>IF(J367="Angiv ikke",0,((1+M367)*VLOOKUP(B367&amp;"_"&amp;J367,'LCA data'!$B$7:$AA$360,26,FALSE)*(K367*10^3)*C367))</f>
        <v>0</v>
      </c>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3"/>
      <c r="BR367" s="323"/>
      <c r="BS367" s="323"/>
      <c r="BT367" s="323"/>
      <c r="BU367" s="323"/>
      <c r="BV367" s="323"/>
      <c r="BW367" s="323"/>
      <c r="BX367" s="323"/>
      <c r="BY367" s="323"/>
      <c r="BZ367" s="323"/>
      <c r="CA367" s="323"/>
      <c r="CB367" s="323"/>
      <c r="CC367" s="323"/>
      <c r="CD367" s="323"/>
      <c r="CE367" s="323"/>
      <c r="CF367" s="323"/>
      <c r="CG367" s="323"/>
      <c r="CH367" s="323"/>
      <c r="CI367" s="323"/>
      <c r="CJ367" s="323"/>
      <c r="CK367" s="323"/>
      <c r="CL367" s="323"/>
      <c r="CM367" s="323"/>
      <c r="CN367" s="323"/>
      <c r="CO367" s="323"/>
      <c r="CP367" s="428"/>
      <c r="CQ367" s="441"/>
      <c r="CR367" s="323"/>
      <c r="CS367" s="323"/>
      <c r="CT367" s="323"/>
      <c r="CU367" s="323"/>
      <c r="CV367" s="323"/>
      <c r="CW367" s="323"/>
      <c r="CX367" s="323"/>
      <c r="CY367" s="323"/>
      <c r="CZ367" s="323"/>
    </row>
    <row r="368" spans="2:222" ht="17.149999999999999" hidden="1" customHeight="1" outlineLevel="1" x14ac:dyDescent="0.35">
      <c r="B368" s="173" t="s">
        <v>128</v>
      </c>
      <c r="C368" s="217"/>
      <c r="E368" s="217"/>
      <c r="F368" s="217"/>
      <c r="G368" s="217"/>
      <c r="H368" s="217"/>
      <c r="J368" s="217"/>
      <c r="K368" s="217"/>
      <c r="L368" s="217"/>
      <c r="M368" s="217"/>
      <c r="N368" s="217"/>
      <c r="O368" s="217"/>
      <c r="P368" s="217"/>
      <c r="Q368" s="217"/>
      <c r="R368" s="217"/>
      <c r="U368" s="251"/>
      <c r="V368" s="251"/>
      <c r="W368" s="323">
        <f>IFERROR(IF(OR(E368="Angiv ikke",J368="Angiv ikke"),0,(VLOOKUP(B368&amp;"_"&amp;J368,'LCA data'!$B$7:$X$2106,19,FALSE)+M368*VLOOKUP(B368&amp;"_"&amp;J368,'LCA data'!$B$7:$X$2106,19,FALSE))*(K368*10^3)*C368),0)</f>
        <v>0</v>
      </c>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3"/>
      <c r="BR368" s="323"/>
      <c r="BS368" s="323"/>
      <c r="BT368" s="323"/>
      <c r="BU368" s="323"/>
      <c r="BV368" s="323"/>
      <c r="BW368" s="323"/>
      <c r="BX368" s="323"/>
      <c r="BY368" s="323"/>
      <c r="BZ368" s="323"/>
      <c r="CA368" s="323"/>
      <c r="CB368" s="323"/>
      <c r="CC368" s="323"/>
      <c r="CD368" s="323"/>
      <c r="CE368" s="323"/>
      <c r="CF368" s="323"/>
      <c r="CG368" s="323"/>
      <c r="CH368" s="323"/>
      <c r="CI368" s="323"/>
      <c r="CJ368" s="323"/>
      <c r="CK368" s="323"/>
      <c r="CL368" s="323"/>
      <c r="CM368" s="323"/>
      <c r="CN368" s="323"/>
      <c r="CO368" s="323"/>
      <c r="CP368" s="439"/>
      <c r="CQ368" s="446"/>
      <c r="CR368" s="323"/>
      <c r="CS368" s="323"/>
      <c r="CT368" s="323"/>
      <c r="CU368" s="323"/>
      <c r="CV368" s="323"/>
      <c r="CW368" s="323"/>
      <c r="CX368" s="323"/>
      <c r="CY368" s="323"/>
      <c r="CZ368" s="323"/>
    </row>
    <row r="369" spans="2:222" ht="18.75" customHeight="1" collapsed="1" x14ac:dyDescent="0.35">
      <c r="B369" s="542"/>
      <c r="C369" s="542"/>
      <c r="D369" s="542"/>
      <c r="E369" s="542"/>
      <c r="F369" s="542"/>
      <c r="G369" s="542"/>
      <c r="H369" s="542"/>
      <c r="I369" s="542"/>
      <c r="J369" s="542"/>
      <c r="K369" s="542"/>
      <c r="L369" s="542"/>
      <c r="M369" s="542"/>
      <c r="R369" s="217"/>
      <c r="S369" s="217"/>
      <c r="U369" s="251"/>
      <c r="V369" s="251"/>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3"/>
      <c r="BR369" s="323"/>
      <c r="BS369" s="323"/>
      <c r="BT369" s="323"/>
      <c r="BU369" s="323"/>
      <c r="BV369" s="323"/>
      <c r="BW369" s="323"/>
      <c r="BX369" s="323"/>
      <c r="BY369" s="323"/>
      <c r="BZ369" s="323"/>
      <c r="CA369" s="323"/>
      <c r="CB369" s="323"/>
      <c r="CC369" s="323"/>
      <c r="CD369" s="323"/>
      <c r="CE369" s="323"/>
      <c r="CF369" s="323"/>
      <c r="CG369" s="323"/>
      <c r="CH369" s="323"/>
      <c r="CI369" s="323"/>
      <c r="CJ369" s="323"/>
      <c r="CK369" s="323"/>
      <c r="CL369" s="323"/>
      <c r="CM369" s="323"/>
      <c r="CN369" s="323"/>
      <c r="CO369" s="323"/>
      <c r="CP369" s="439"/>
      <c r="CQ369" s="440"/>
      <c r="CR369" s="323"/>
      <c r="CS369" s="323"/>
      <c r="CT369" s="323"/>
      <c r="CU369" s="323"/>
      <c r="CV369" s="323"/>
      <c r="CW369" s="323"/>
      <c r="CX369" s="323"/>
      <c r="CY369" s="323"/>
      <c r="CZ369" s="323"/>
    </row>
    <row r="370" spans="2:222" ht="29.25" hidden="1" customHeight="1" outlineLevel="1" x14ac:dyDescent="0.7">
      <c r="B370" s="493" t="s">
        <v>112</v>
      </c>
      <c r="C370" s="499"/>
      <c r="D370" s="499"/>
      <c r="E370" s="506" t="s">
        <v>39</v>
      </c>
      <c r="F370" s="499"/>
      <c r="G370" s="499"/>
      <c r="H370" s="499"/>
      <c r="I370" s="500" t="str">
        <f>"Skillevægstype"&amp;" "&amp;4</f>
        <v>Skillevægstype 4</v>
      </c>
      <c r="J370" s="500"/>
      <c r="K370" s="499"/>
      <c r="L370" s="499"/>
      <c r="M370" s="499"/>
      <c r="N370" s="499"/>
      <c r="O370" s="499"/>
      <c r="P370" s="499"/>
      <c r="Q370" s="501"/>
      <c r="R370" s="409"/>
      <c r="S370" s="191"/>
      <c r="U370" s="251"/>
      <c r="V370" s="251"/>
      <c r="W370" s="323">
        <f>IF(D373=$D$82,1,0)</f>
        <v>1</v>
      </c>
      <c r="X370" s="323">
        <f>IF(I373=$D$82,1,0)</f>
        <v>1</v>
      </c>
      <c r="Y370" s="323"/>
      <c r="Z370" s="323"/>
      <c r="AA370" s="323"/>
      <c r="AB370" s="323"/>
      <c r="AC370" s="323"/>
      <c r="AD370" s="323"/>
      <c r="AE370" s="323"/>
      <c r="AF370" s="323"/>
      <c r="AG370" s="323"/>
      <c r="AH370" s="323"/>
      <c r="AI370" s="323"/>
      <c r="AJ370" s="323" t="s">
        <v>746</v>
      </c>
      <c r="AK370" s="323" t="s">
        <v>747</v>
      </c>
      <c r="AL370" s="323"/>
      <c r="AM370" s="323"/>
      <c r="AN370" s="323" t="s">
        <v>846</v>
      </c>
      <c r="AO370" s="323"/>
      <c r="AP370" s="323"/>
      <c r="AQ370" s="323"/>
      <c r="AR370" s="323" t="s">
        <v>851</v>
      </c>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3"/>
      <c r="BR370" s="323"/>
      <c r="BS370" s="323"/>
      <c r="BT370" s="323"/>
      <c r="BU370" s="323"/>
      <c r="BV370" s="323"/>
      <c r="BW370" s="323"/>
      <c r="BX370" s="323"/>
      <c r="BY370" s="323"/>
      <c r="BZ370" s="323"/>
      <c r="CA370" s="323"/>
      <c r="CB370" s="323"/>
      <c r="CC370" s="323"/>
      <c r="CD370" s="323"/>
      <c r="CE370" s="323"/>
      <c r="CF370" s="323"/>
      <c r="CG370" s="323"/>
      <c r="CH370" s="323"/>
      <c r="CI370" s="323"/>
      <c r="CJ370" s="323"/>
      <c r="CK370" s="323"/>
      <c r="CL370" s="323"/>
      <c r="CM370" s="323"/>
      <c r="CN370" s="323"/>
      <c r="CO370" s="323"/>
      <c r="CP370" s="447"/>
      <c r="CQ370" s="448"/>
      <c r="CR370" s="323"/>
      <c r="CS370" s="323"/>
      <c r="CT370" s="323"/>
      <c r="CU370" s="323"/>
      <c r="CV370" s="323"/>
      <c r="CW370" s="323"/>
      <c r="CX370" s="323"/>
      <c r="CY370" s="323"/>
      <c r="CZ370" s="323"/>
    </row>
    <row r="371" spans="2:222" ht="40.4" hidden="1" customHeight="1" outlineLevel="1" x14ac:dyDescent="0.35">
      <c r="B371" s="359" t="s">
        <v>78</v>
      </c>
      <c r="C371" s="195" t="s">
        <v>80</v>
      </c>
      <c r="D371" s="910" t="s">
        <v>4</v>
      </c>
      <c r="E371" s="911"/>
      <c r="F371" s="911"/>
      <c r="G371" s="911"/>
      <c r="H371" s="912"/>
      <c r="I371" s="885" t="s">
        <v>5</v>
      </c>
      <c r="J371" s="886"/>
      <c r="K371" s="886"/>
      <c r="L371" s="886"/>
      <c r="M371" s="887"/>
      <c r="N371" s="877" t="s">
        <v>79</v>
      </c>
      <c r="O371" s="877"/>
      <c r="P371" s="877"/>
      <c r="Q371" s="881"/>
      <c r="R371" s="192"/>
      <c r="S371" s="193"/>
      <c r="T371" s="175"/>
      <c r="U371" s="251"/>
      <c r="V371" s="251"/>
      <c r="W371" s="323"/>
      <c r="X371" s="323"/>
      <c r="Y371" s="323"/>
      <c r="Z371" s="323"/>
      <c r="AA371" s="323"/>
      <c r="AB371" s="323"/>
      <c r="AC371" s="323"/>
      <c r="AD371" s="323"/>
      <c r="AE371" s="323"/>
      <c r="AF371" s="323"/>
      <c r="AG371" s="323"/>
      <c r="AH371" s="323"/>
      <c r="AI371" s="323" t="str">
        <f>'LCA data'!$B$65</f>
        <v>Indvendig beklædning</v>
      </c>
      <c r="AJ371" s="323">
        <f>(VLOOKUP(E374,Pris.indvendig.beklædning[],2,0))*C374</f>
        <v>0</v>
      </c>
      <c r="AK371" s="323">
        <f>(VLOOKUP(J374,Pris.indvendig.beklædning[],2,0))*C374</f>
        <v>0</v>
      </c>
      <c r="AL371" s="323"/>
      <c r="AM371" s="323"/>
      <c r="AN371" s="323" t="s">
        <v>4</v>
      </c>
      <c r="AO371" s="323" t="s">
        <v>5</v>
      </c>
      <c r="AP371" s="323"/>
      <c r="AQ371" s="323"/>
      <c r="AR371" s="323" t="s">
        <v>4</v>
      </c>
      <c r="AS371" s="323" t="s">
        <v>5</v>
      </c>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3"/>
      <c r="BR371" s="323"/>
      <c r="BS371" s="323"/>
      <c r="BT371" s="323"/>
      <c r="BU371" s="323"/>
      <c r="BV371" s="323"/>
      <c r="BW371" s="323"/>
      <c r="BX371" s="323"/>
      <c r="BY371" s="323"/>
      <c r="BZ371" s="323"/>
      <c r="CA371" s="323"/>
      <c r="CB371" s="323"/>
      <c r="CC371" s="323"/>
      <c r="CD371" s="323"/>
      <c r="CE371" s="323"/>
      <c r="CF371" s="323"/>
      <c r="CG371" s="323"/>
      <c r="CH371" s="323"/>
      <c r="CI371" s="323"/>
      <c r="CJ371" s="323"/>
      <c r="CK371" s="323"/>
      <c r="CL371" s="323"/>
      <c r="CM371" s="323"/>
      <c r="CN371" s="323"/>
      <c r="CO371" s="323"/>
      <c r="CP371" s="439"/>
      <c r="CQ371" s="440"/>
      <c r="CR371" s="323"/>
      <c r="CS371" s="323"/>
      <c r="CT371" s="323"/>
      <c r="CU371" s="323"/>
      <c r="CV371" s="323"/>
      <c r="CW371" s="323"/>
      <c r="CX371" s="323"/>
      <c r="CY371" s="323"/>
      <c r="CZ371" s="323"/>
    </row>
    <row r="372" spans="2:222" ht="47.15" hidden="1" customHeight="1" outlineLevel="1" x14ac:dyDescent="0.35">
      <c r="B372" s="194"/>
      <c r="C372" s="665">
        <v>0</v>
      </c>
      <c r="D372" s="908" t="s">
        <v>797</v>
      </c>
      <c r="E372" s="909"/>
      <c r="F372" s="338" t="s">
        <v>82</v>
      </c>
      <c r="G372" s="338"/>
      <c r="H372" s="346" t="s">
        <v>84</v>
      </c>
      <c r="I372" s="913" t="s">
        <v>797</v>
      </c>
      <c r="J372" s="914"/>
      <c r="K372" s="479" t="s">
        <v>82</v>
      </c>
      <c r="L372" s="479"/>
      <c r="M372" s="508" t="s">
        <v>84</v>
      </c>
      <c r="N372" s="195" t="s">
        <v>4</v>
      </c>
      <c r="O372" s="195" t="s">
        <v>85</v>
      </c>
      <c r="P372" s="195" t="s">
        <v>5</v>
      </c>
      <c r="Q372" s="357" t="s">
        <v>86</v>
      </c>
      <c r="R372" s="192"/>
      <c r="S372" s="196"/>
      <c r="U372" s="251"/>
      <c r="V372" s="251"/>
      <c r="W372" s="323" t="s">
        <v>87</v>
      </c>
      <c r="X372" s="323" t="s">
        <v>88</v>
      </c>
      <c r="Y372" s="323"/>
      <c r="Z372" s="323"/>
      <c r="AA372" s="323" t="s">
        <v>91</v>
      </c>
      <c r="AB372" s="323"/>
      <c r="AC372" s="323"/>
      <c r="AD372" s="323"/>
      <c r="AE372" s="323" t="s">
        <v>92</v>
      </c>
      <c r="AF372" s="323"/>
      <c r="AG372" s="323"/>
      <c r="AH372" s="323"/>
      <c r="AI372" s="323" t="str">
        <f>'LCA data'!$B$32</f>
        <v>Isolering</v>
      </c>
      <c r="AJ372" s="323">
        <f>VLOOKUP(E375,Pris.isolering[],2,0)*F375*C375</f>
        <v>0</v>
      </c>
      <c r="AK372" s="323">
        <f>VLOOKUP(J375,Pris.isolering[],2,0)*K375*C375</f>
        <v>0</v>
      </c>
      <c r="AL372" s="323"/>
      <c r="AM372" s="323"/>
      <c r="AN372" s="323">
        <f>SUM(AN374:AN378)</f>
        <v>0</v>
      </c>
      <c r="AO372" s="323">
        <f>SUM(AO374:AO378)</f>
        <v>0</v>
      </c>
      <c r="AP372" s="323"/>
      <c r="AQ372" s="323"/>
      <c r="AR372" s="323">
        <f>SUM(AR374:AR377)</f>
        <v>0</v>
      </c>
      <c r="AS372" s="323">
        <f>SUM(AS374:AS377)</f>
        <v>0</v>
      </c>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3"/>
      <c r="BR372" s="323"/>
      <c r="BS372" s="323"/>
      <c r="BT372" s="323"/>
      <c r="BU372" s="323"/>
      <c r="BV372" s="323"/>
      <c r="BW372" s="323"/>
      <c r="BX372" s="323"/>
      <c r="BY372" s="323"/>
      <c r="BZ372" s="323"/>
      <c r="CA372" s="323"/>
      <c r="CB372" s="323"/>
      <c r="CC372" s="323"/>
      <c r="CD372" s="323"/>
      <c r="CE372" s="323"/>
      <c r="CF372" s="323"/>
      <c r="CG372" s="323"/>
      <c r="CH372" s="323"/>
      <c r="CI372" s="323"/>
      <c r="CJ372" s="323"/>
      <c r="CK372" s="323"/>
      <c r="CL372" s="323"/>
      <c r="CM372" s="323"/>
      <c r="CN372" s="323"/>
      <c r="CO372" s="323"/>
      <c r="CP372" s="439"/>
      <c r="CQ372" s="440"/>
      <c r="CR372" s="323"/>
      <c r="CS372" s="323"/>
      <c r="CT372" s="323"/>
      <c r="CU372" s="323"/>
      <c r="CV372" s="323"/>
      <c r="CW372" s="323"/>
      <c r="CX372" s="323"/>
      <c r="CY372" s="323"/>
      <c r="CZ372" s="323"/>
    </row>
    <row r="373" spans="2:222" s="198" customFormat="1" ht="26" hidden="1" customHeight="1" outlineLevel="1" x14ac:dyDescent="0.35">
      <c r="B373" s="199"/>
      <c r="C373" s="410" t="s">
        <v>801</v>
      </c>
      <c r="D373" s="915" t="s">
        <v>811</v>
      </c>
      <c r="E373" s="915"/>
      <c r="F373" s="347" t="s">
        <v>94</v>
      </c>
      <c r="G373" s="348"/>
      <c r="H373" s="349" t="s">
        <v>96</v>
      </c>
      <c r="I373" s="915" t="s">
        <v>811</v>
      </c>
      <c r="J373" s="915"/>
      <c r="K373" s="510" t="s">
        <v>94</v>
      </c>
      <c r="L373" s="511"/>
      <c r="M373" s="512" t="s">
        <v>96</v>
      </c>
      <c r="N373" s="201" t="s">
        <v>97</v>
      </c>
      <c r="O373" s="201" t="s">
        <v>97</v>
      </c>
      <c r="P373" s="201" t="s">
        <v>97</v>
      </c>
      <c r="Q373" s="358" t="s">
        <v>97</v>
      </c>
      <c r="R373" s="202"/>
      <c r="S373" s="203"/>
      <c r="T373" s="204"/>
      <c r="U373" s="325"/>
      <c r="V373" s="325"/>
      <c r="W373" s="323">
        <f>SUM(W374:W378)</f>
        <v>0</v>
      </c>
      <c r="X373" s="323">
        <f>SUM(X374:X378)</f>
        <v>0</v>
      </c>
      <c r="Y373" s="323"/>
      <c r="Z373" s="323"/>
      <c r="AA373" s="323"/>
      <c r="AB373" s="323" t="s">
        <v>111</v>
      </c>
      <c r="AC373" s="323"/>
      <c r="AD373" s="323" t="s">
        <v>99</v>
      </c>
      <c r="AE373" s="323" t="s">
        <v>100</v>
      </c>
      <c r="AF373" s="323"/>
      <c r="AG373" s="323"/>
      <c r="AH373" s="323"/>
      <c r="AI373" s="323" t="str">
        <f>'LCA data'!$B$201</f>
        <v>Skillevægskonstruktion</v>
      </c>
      <c r="AJ373" s="323">
        <f>VLOOKUP(E376,Pris.væg.konstruktion[],2,0)*C376</f>
        <v>0</v>
      </c>
      <c r="AK373" s="323">
        <f>VLOOKUP(J376,Pris.væg.konstruktion[],2,0)*C376</f>
        <v>0</v>
      </c>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3"/>
      <c r="BR373" s="323"/>
      <c r="BS373" s="323"/>
      <c r="BT373" s="323"/>
      <c r="BU373" s="323"/>
      <c r="BV373" s="323"/>
      <c r="BW373" s="323"/>
      <c r="BX373" s="323"/>
      <c r="BY373" s="323"/>
      <c r="BZ373" s="323"/>
      <c r="CA373" s="323"/>
      <c r="CB373" s="323"/>
      <c r="CC373" s="323"/>
      <c r="CD373" s="323"/>
      <c r="CE373" s="323"/>
      <c r="CF373" s="323"/>
      <c r="CG373" s="323"/>
      <c r="CH373" s="323"/>
      <c r="CI373" s="323"/>
      <c r="CJ373" s="323"/>
      <c r="CK373" s="323"/>
      <c r="CL373" s="323"/>
      <c r="CM373" s="323"/>
      <c r="CN373" s="323"/>
      <c r="CO373" s="323"/>
      <c r="CP373" s="439"/>
      <c r="CQ373" s="440"/>
      <c r="CR373" s="323"/>
      <c r="CS373" s="323"/>
      <c r="CT373" s="323"/>
      <c r="CU373" s="323"/>
      <c r="CV373" s="323"/>
      <c r="CW373" s="323"/>
      <c r="CX373" s="323"/>
      <c r="CY373" s="323"/>
      <c r="CZ373" s="323"/>
      <c r="DA373" s="325"/>
      <c r="DB373" s="325"/>
      <c r="DC373" s="325"/>
      <c r="DD373" s="325"/>
      <c r="DE373" s="325"/>
      <c r="DF373" s="325"/>
      <c r="DG373" s="325"/>
      <c r="DH373" s="325"/>
      <c r="DI373" s="325"/>
      <c r="DJ373" s="325"/>
      <c r="DK373" s="325"/>
      <c r="DL373" s="325"/>
      <c r="DM373" s="325"/>
      <c r="DN373" s="325"/>
      <c r="DO373" s="325"/>
      <c r="DP373" s="325"/>
      <c r="DQ373" s="325"/>
      <c r="DR373" s="325"/>
      <c r="DS373" s="325"/>
      <c r="DT373" s="325"/>
      <c r="DU373" s="325"/>
      <c r="DV373" s="325"/>
      <c r="DW373" s="325"/>
      <c r="DX373" s="325"/>
      <c r="DY373" s="325"/>
      <c r="DZ373" s="325"/>
      <c r="EA373" s="325"/>
      <c r="EB373" s="325"/>
      <c r="EC373" s="325"/>
      <c r="ED373" s="325"/>
      <c r="EE373" s="325"/>
      <c r="EF373" s="325"/>
      <c r="EG373" s="325"/>
      <c r="EH373" s="325"/>
      <c r="EI373" s="325"/>
      <c r="EJ373" s="325"/>
      <c r="EK373" s="325"/>
      <c r="EL373" s="325"/>
      <c r="EM373" s="325"/>
      <c r="EN373" s="325"/>
      <c r="EO373" s="325"/>
      <c r="EP373" s="325"/>
      <c r="EQ373" s="325"/>
      <c r="ER373" s="325"/>
      <c r="ES373" s="325"/>
      <c r="ET373" s="325"/>
      <c r="EU373" s="325"/>
      <c r="EV373" s="325"/>
      <c r="EW373" s="325"/>
      <c r="EX373" s="325"/>
      <c r="EY373" s="325"/>
      <c r="EZ373" s="325"/>
      <c r="FA373" s="325"/>
      <c r="FB373" s="325"/>
      <c r="FC373" s="325"/>
      <c r="FD373" s="325"/>
      <c r="FE373" s="325"/>
      <c r="FF373" s="325"/>
      <c r="FG373" s="325"/>
      <c r="FH373" s="325"/>
      <c r="FI373" s="325"/>
      <c r="FJ373" s="325"/>
      <c r="FK373" s="325"/>
      <c r="FL373" s="325"/>
      <c r="FM373" s="325"/>
      <c r="FN373" s="325"/>
      <c r="FO373" s="325"/>
      <c r="FP373" s="325"/>
      <c r="FQ373" s="325"/>
      <c r="FR373" s="325"/>
      <c r="FS373" s="325"/>
      <c r="FT373" s="325"/>
      <c r="FU373" s="325"/>
      <c r="FV373" s="325"/>
      <c r="FW373" s="325"/>
      <c r="FX373" s="325"/>
      <c r="FY373" s="325"/>
      <c r="FZ373" s="325"/>
      <c r="GA373" s="325"/>
      <c r="GB373" s="325"/>
      <c r="GC373" s="325"/>
      <c r="GD373" s="325"/>
      <c r="GE373" s="325"/>
      <c r="GF373" s="325"/>
      <c r="GG373" s="325"/>
      <c r="GH373" s="325"/>
      <c r="GI373" s="325"/>
      <c r="GJ373" s="325"/>
      <c r="GK373" s="325"/>
      <c r="GL373" s="325"/>
      <c r="GM373" s="325"/>
      <c r="GN373" s="325"/>
      <c r="GO373" s="325"/>
      <c r="GP373" s="325"/>
      <c r="GQ373" s="325"/>
      <c r="GR373" s="325"/>
      <c r="GS373" s="325"/>
      <c r="GT373" s="325"/>
      <c r="GU373" s="325"/>
      <c r="GV373" s="325"/>
      <c r="GW373" s="325"/>
      <c r="GX373" s="325"/>
      <c r="GY373" s="325"/>
      <c r="GZ373" s="325"/>
      <c r="HA373" s="325"/>
      <c r="HB373" s="325"/>
      <c r="HC373" s="325"/>
      <c r="HD373" s="325"/>
      <c r="HE373" s="325"/>
      <c r="HF373" s="325"/>
      <c r="HG373" s="325"/>
      <c r="HH373" s="325"/>
      <c r="HI373" s="325"/>
      <c r="HJ373" s="325"/>
      <c r="HK373" s="325"/>
      <c r="HL373" s="325"/>
      <c r="HM373" s="325"/>
      <c r="HN373" s="325"/>
    </row>
    <row r="374" spans="2:222" ht="40.4" hidden="1" customHeight="1" outlineLevel="1" x14ac:dyDescent="0.35">
      <c r="B374" s="363" t="str">
        <f>'LCA data'!$B$65</f>
        <v>Indvendig beklædning</v>
      </c>
      <c r="C374" s="470">
        <f>$C$372*$C$46</f>
        <v>0</v>
      </c>
      <c r="D374" s="15" t="s">
        <v>103</v>
      </c>
      <c r="E374" s="342" t="str">
        <f>IF($D$373=$D$82,D374,VLOOKUP(B374,Auto_Skillevæg[],VLOOKUP($D$373,Type_Tung_Middel_Let[],2,0),0))</f>
        <v>Angiv ikke</v>
      </c>
      <c r="F374" s="476">
        <f>(VLOOKUP(E374,Pris.indvendig.beklædning[],4,0))/1000</f>
        <v>0</v>
      </c>
      <c r="G374" s="350"/>
      <c r="H374" s="351" t="str">
        <f>IFERROR(IF(VLOOKUP(B374&amp;"_"&amp;E374,'LCA data'!$B$7:$X$200,2,FALSE)&lt;$Y$24,1,0)+IF(VLOOKUP(B374&amp;"_"&amp;E374,'LCA data'!$B$7:$X$200,2,FALSE)*2&lt;$Y$24,1,0),"")</f>
        <v/>
      </c>
      <c r="I374" s="15" t="s">
        <v>103</v>
      </c>
      <c r="J374" s="342" t="str">
        <f>IF($I$373=$D$82,I374,VLOOKUP(B374,Auto_Skillevæg[],VLOOKUP($I$373,Type_Tung_Middel_Let[],2,0),0))</f>
        <v>Angiv ikke</v>
      </c>
      <c r="K374" s="527">
        <f>(VLOOKUP(J374,Pris.indvendig.beklædning[],4,0))/1000</f>
        <v>0</v>
      </c>
      <c r="L374" s="514"/>
      <c r="M374" s="515" t="str">
        <f>IFERROR(IF(VLOOKUP(B374&amp;"_"&amp;J374,'LCA data'!$B$7:$X$200,2,FALSE)&lt;$Y$24,1,0)+IF(VLOOKUP(B374&amp;"_"&amp;J374,'LCA data'!$B$7:$X$200,2,FALSE)*2&lt;$Y$24,1,0),"")</f>
        <v/>
      </c>
      <c r="N374" s="364">
        <f>W374/1000</f>
        <v>0</v>
      </c>
      <c r="O374" s="880">
        <f>SUM(N374:N378)</f>
        <v>0</v>
      </c>
      <c r="P374" s="365">
        <f>X374/1000</f>
        <v>0</v>
      </c>
      <c r="Q374" s="888">
        <f>SUM(P374:P378)</f>
        <v>0</v>
      </c>
      <c r="R374" s="192"/>
      <c r="S374" s="196"/>
      <c r="U374" s="251"/>
      <c r="V374" s="251"/>
      <c r="W374" s="323">
        <f>IF(E374="Angiv ikke",0,((1+H374)*VLOOKUP(B374&amp;"_"&amp;E374,'LCA data'!$B$7:$X$360,19,FALSE)*(F374*10^3)*C374))</f>
        <v>0</v>
      </c>
      <c r="X374" s="323">
        <f>IF(J374="Angiv ikke",0,((1+M374)*VLOOKUP(B374&amp;"_"&amp;J374,'LCA data'!$B$7:$X$360,19,FALSE)*(K374*10^3)*C374))</f>
        <v>0</v>
      </c>
      <c r="Y374" s="323"/>
      <c r="Z374" s="323"/>
      <c r="AA374" s="323" t="s">
        <v>4</v>
      </c>
      <c r="AB374" s="323">
        <f>AF374/$J$21/$Y$24*1000</f>
        <v>0</v>
      </c>
      <c r="AC374" s="323"/>
      <c r="AD374" s="323">
        <f>AB374+AC374</f>
        <v>0</v>
      </c>
      <c r="AE374" s="323" t="s">
        <v>4</v>
      </c>
      <c r="AF374" s="323">
        <f>W373/1000</f>
        <v>0</v>
      </c>
      <c r="AG374" s="323"/>
      <c r="AH374" s="323"/>
      <c r="AI374" s="323" t="str">
        <f>'LCA data'!$B$65</f>
        <v>Indvendig beklædning</v>
      </c>
      <c r="AJ374" s="323">
        <f>(VLOOKUP(E377,Pris.indvendig.beklædning[],2,0))*C377</f>
        <v>0</v>
      </c>
      <c r="AK374" s="323">
        <f>(VLOOKUP(J377,Pris.indvendig.beklædning[],2,0))*C377</f>
        <v>0</v>
      </c>
      <c r="AL374" s="323"/>
      <c r="AM374" s="323"/>
      <c r="AN374" s="323">
        <f>IF(E374="Angiv ikke",0,((1+H374)*VLOOKUP(B374&amp;"_"&amp;E374,'LCA data'!$B$7:$X$360,20,FALSE)*(F374*10^3)*C374))</f>
        <v>0</v>
      </c>
      <c r="AO374" s="323">
        <f>IF(J374="Angiv ikke",0,((1+M374)*VLOOKUP(B374&amp;"_"&amp;J374,'LCA data'!$B$7:$X$360,20,FALSE)*(K374*10^3)*C374))</f>
        <v>0</v>
      </c>
      <c r="AP374" s="323"/>
      <c r="AQ374" s="323"/>
      <c r="AR374" s="323">
        <f>IF(E374="Angiv ikke",0,((1+H374)*VLOOKUP(B374&amp;"_"&amp;E374,'LCA data'!$B$7:$AA$360,26,FALSE)*(F374*10^3)*C374))</f>
        <v>0</v>
      </c>
      <c r="AS374" s="323">
        <f>IF(J374="Angiv ikke",0,((1+M374)*VLOOKUP(B374&amp;"_"&amp;J374,'LCA data'!$B$7:$AA$360,26,FALSE)*(K374*10^3)*C374))</f>
        <v>0</v>
      </c>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3"/>
      <c r="BR374" s="323"/>
      <c r="BS374" s="323"/>
      <c r="BT374" s="323"/>
      <c r="BU374" s="323"/>
      <c r="BV374" s="323"/>
      <c r="BW374" s="323"/>
      <c r="BX374" s="323"/>
      <c r="BY374" s="323"/>
      <c r="BZ374" s="323"/>
      <c r="CA374" s="323"/>
      <c r="CB374" s="323"/>
      <c r="CC374" s="323"/>
      <c r="CD374" s="323"/>
      <c r="CE374" s="323"/>
      <c r="CF374" s="323"/>
      <c r="CG374" s="323"/>
      <c r="CH374" s="323"/>
      <c r="CI374" s="323"/>
      <c r="CJ374" s="323"/>
      <c r="CK374" s="323"/>
      <c r="CL374" s="323"/>
      <c r="CM374" s="323"/>
      <c r="CN374" s="323"/>
      <c r="CO374" s="323"/>
      <c r="CP374" s="439"/>
      <c r="CQ374" s="440"/>
      <c r="CR374" s="323"/>
      <c r="CS374" s="323"/>
      <c r="CT374" s="323"/>
      <c r="CU374" s="323"/>
      <c r="CV374" s="323"/>
      <c r="CW374" s="323"/>
      <c r="CX374" s="323"/>
      <c r="CY374" s="323"/>
      <c r="CZ374" s="323"/>
    </row>
    <row r="375" spans="2:222" ht="40.4" hidden="1" customHeight="1" outlineLevel="1" x14ac:dyDescent="0.35">
      <c r="B375" s="208" t="str">
        <f>'LCA data'!$B$32</f>
        <v>Isolering</v>
      </c>
      <c r="C375" s="465">
        <f>$C$372*$C$46</f>
        <v>0</v>
      </c>
      <c r="D375" s="168" t="s">
        <v>103</v>
      </c>
      <c r="E375" s="342" t="str">
        <f>IF($D$373=$D$82,D375,VLOOKUP(B375,Auto_Skillevæg[],VLOOKUP($D$373,Type_Tung_Middel_Let[],2,0),0))</f>
        <v>Angiv ikke</v>
      </c>
      <c r="F375" s="172">
        <f>IF(OR(E376="Stålskelet",E376="Træskelet"),0.1,0)</f>
        <v>0</v>
      </c>
      <c r="G375" s="353"/>
      <c r="H375" s="351" t="str">
        <f>IFERROR(IF(VLOOKUP(B375&amp;"_"&amp;E375,'LCA data'!$B$7:$X$200,2,FALSE)&lt;$Y$24,1,0)+IF(VLOOKUP(B375&amp;"_"&amp;E375,'LCA data'!$B$7:$X$200,2,FALSE)*2&lt;$Y$24,1,0),"")</f>
        <v/>
      </c>
      <c r="I375" s="168" t="s">
        <v>103</v>
      </c>
      <c r="J375" s="342" t="str">
        <f>IF($I$373=$D$82,I375,VLOOKUP(B375,Auto_Skillevæg[],VLOOKUP($I$373,Type_Tung_Middel_Let[],2,0),0))</f>
        <v>Angiv ikke</v>
      </c>
      <c r="K375" s="172">
        <f>IF(OR(J376="Stålskelet",J376="Træskelet"),0.1,0)</f>
        <v>0</v>
      </c>
      <c r="L375" s="528"/>
      <c r="M375" s="515" t="str">
        <f>IFERROR(IF(VLOOKUP(B375&amp;"_"&amp;J375,'LCA data'!$B$7:$X$200,2,FALSE)&lt;$Y$24,1,0)+IF(VLOOKUP(B375&amp;"_"&amp;J375,'LCA data'!$B$7:$X$200,2,FALSE)*2&lt;$Y$24,1,0),"")</f>
        <v/>
      </c>
      <c r="N375" s="206">
        <f>W375/1000</f>
        <v>0</v>
      </c>
      <c r="O375" s="878"/>
      <c r="P375" s="207">
        <f>X375/1000</f>
        <v>0</v>
      </c>
      <c r="Q375" s="889"/>
      <c r="R375" s="192"/>
      <c r="S375" s="196"/>
      <c r="U375" s="251"/>
      <c r="V375" s="251"/>
      <c r="W375" s="323">
        <f>IF(E375="Angiv ikke",0,((1+H375)*VLOOKUP(B375&amp;"_"&amp;E375,'LCA data'!$B$7:$X$360,19,FALSE)*(F375*10^3)*C375))</f>
        <v>0</v>
      </c>
      <c r="X375" s="323">
        <f>IF(J375="Angiv ikke",0,((1+M375)*VLOOKUP(B375&amp;"_"&amp;J375,'LCA data'!$B$7:$X$360,19,FALSE)*(K375*10^3)*C375))</f>
        <v>0</v>
      </c>
      <c r="Y375" s="323"/>
      <c r="Z375" s="323"/>
      <c r="AA375" s="323" t="s">
        <v>5</v>
      </c>
      <c r="AB375" s="323">
        <f>AG375/$J$21/$Y$24*1000</f>
        <v>0</v>
      </c>
      <c r="AC375" s="323"/>
      <c r="AD375" s="323">
        <f>AB375+AC375</f>
        <v>0</v>
      </c>
      <c r="AE375" s="323" t="s">
        <v>5</v>
      </c>
      <c r="AF375" s="323"/>
      <c r="AG375" s="323">
        <f>X373/1000</f>
        <v>0</v>
      </c>
      <c r="AH375" s="323"/>
      <c r="AI375" s="323" t="s">
        <v>743</v>
      </c>
      <c r="AJ375" s="323">
        <f>SUM(AJ371:AJ374)</f>
        <v>0</v>
      </c>
      <c r="AK375" s="323">
        <f>SUM(AK371:AK374)</f>
        <v>0</v>
      </c>
      <c r="AL375" s="323"/>
      <c r="AM375" s="323"/>
      <c r="AN375" s="323">
        <f>IF(E375="Angiv ikke",0,((1+H375)*VLOOKUP(B375&amp;"_"&amp;E375,'LCA data'!$B$7:$X$360,20,FALSE)*(F375*10^3)*C375))</f>
        <v>0</v>
      </c>
      <c r="AO375" s="323">
        <f>IF(J375="Angiv ikke",0,((1+M375)*VLOOKUP(B375&amp;"_"&amp;J375,'LCA data'!$B$7:$X$360,20,FALSE)*(K375*10^3)*C375))</f>
        <v>0</v>
      </c>
      <c r="AP375" s="323"/>
      <c r="AQ375" s="323"/>
      <c r="AR375" s="323">
        <f>IF(E375="Angiv ikke",0,((1+H375)*VLOOKUP(B375&amp;"_"&amp;E375,'LCA data'!$B$7:$AA$360,26,FALSE)*(F375*10^3)*C375))</f>
        <v>0</v>
      </c>
      <c r="AS375" s="323">
        <f>IF(J375="Angiv ikke",0,((1+M375)*VLOOKUP(B375&amp;"_"&amp;J375,'LCA data'!$B$7:$AA$360,26,FALSE)*(K375*10^3)*C375))</f>
        <v>0</v>
      </c>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3"/>
      <c r="BR375" s="323"/>
      <c r="BS375" s="323"/>
      <c r="BT375" s="323"/>
      <c r="BU375" s="323"/>
      <c r="BV375" s="323"/>
      <c r="BW375" s="323"/>
      <c r="BX375" s="323"/>
      <c r="BY375" s="323"/>
      <c r="BZ375" s="323"/>
      <c r="CA375" s="323"/>
      <c r="CB375" s="323"/>
      <c r="CC375" s="323"/>
      <c r="CD375" s="323"/>
      <c r="CE375" s="323"/>
      <c r="CF375" s="323"/>
      <c r="CG375" s="323"/>
      <c r="CH375" s="323"/>
      <c r="CI375" s="323"/>
      <c r="CJ375" s="323"/>
      <c r="CK375" s="323"/>
      <c r="CL375" s="323"/>
      <c r="CM375" s="323"/>
      <c r="CN375" s="323"/>
      <c r="CO375" s="323"/>
      <c r="CP375" s="439"/>
      <c r="CQ375" s="440"/>
      <c r="CR375" s="323"/>
      <c r="CS375" s="323"/>
      <c r="CT375" s="323"/>
      <c r="CU375" s="323"/>
      <c r="CV375" s="323"/>
      <c r="CW375" s="323"/>
      <c r="CX375" s="323"/>
      <c r="CY375" s="323"/>
      <c r="CZ375" s="323"/>
    </row>
    <row r="376" spans="2:222" ht="40.4" hidden="1" customHeight="1" outlineLevel="1" x14ac:dyDescent="0.35">
      <c r="B376" s="205" t="str">
        <f>'LCA data'!$B$201</f>
        <v>Skillevægskonstruktion</v>
      </c>
      <c r="C376" s="465">
        <f>$C$372*$C$46</f>
        <v>0</v>
      </c>
      <c r="D376" s="169" t="s">
        <v>103</v>
      </c>
      <c r="E376" s="342" t="str">
        <f>IF($D$373=$D$82,D376,VLOOKUP(B376,Auto_Skillevæg[],VLOOKUP($D$373,Type_Tung_Middel_Let[],2,0),0))</f>
        <v>Angiv ikke</v>
      </c>
      <c r="F376" s="299">
        <f>IF(OR(E376="Stålskelet",E376="Træskelet"),F375,(VLOOKUP(E376,Pris.Skillevægs.konstruktion[],4,0)/1000))</f>
        <v>0</v>
      </c>
      <c r="G376" s="350"/>
      <c r="H376" s="351" t="str">
        <f>IFERROR(IF(VLOOKUP(B376&amp;"_"&amp;E376,'LCA data'!$B$7:$X$360,2,FALSE)&lt;$Y$24,1,0)+IF(VLOOKUP(B376&amp;"_"&amp;E376,'LCA data'!$B$7:$X$360,2,FALSE)*2&lt;$Y$24,1,0),"")</f>
        <v/>
      </c>
      <c r="I376" s="169" t="s">
        <v>103</v>
      </c>
      <c r="J376" s="342" t="str">
        <f>IF($I$373=$D$82,I376,VLOOKUP(B376,Auto_Skillevæg[],VLOOKUP($I$373,Type_Tung_Middel_Let[],2,0),0))</f>
        <v>Angiv ikke</v>
      </c>
      <c r="K376" s="299">
        <f>IF(OR(J376="Stålskelet",J376="Træskelet"),K375,(VLOOKUP(J376,Pris.Skillevægs.konstruktion[],4,0)/1000))</f>
        <v>0</v>
      </c>
      <c r="L376" s="514"/>
      <c r="M376" s="515" t="str">
        <f>IFERROR(IF(VLOOKUP(B376&amp;"_"&amp;J376,'LCA data'!$B$7:$X$360,2,FALSE)&lt;$Y$24,1,0)+IF(VLOOKUP(B376&amp;"_"&amp;J376,'LCA data'!$B$7:$X$360,2,FALSE)*2&lt;$Y$24,1,0),"")</f>
        <v/>
      </c>
      <c r="N376" s="206">
        <f>W376/1000</f>
        <v>0</v>
      </c>
      <c r="O376" s="878"/>
      <c r="P376" s="207">
        <f>X376/1000</f>
        <v>0</v>
      </c>
      <c r="Q376" s="889"/>
      <c r="R376" s="192"/>
      <c r="S376" s="196"/>
      <c r="U376" s="251"/>
      <c r="V376" s="251"/>
      <c r="W376" s="323">
        <f>IF(E376="Angiv ikke",0,((1+H376)*VLOOKUP(B376&amp;"_"&amp;E376,'LCA data'!$B$7:$X$360,19,FALSE)*(F376*10^3)*C376))</f>
        <v>0</v>
      </c>
      <c r="X376" s="323">
        <f>IF(J376="Angiv ikke",0,((1+M376)*VLOOKUP(B376&amp;"_"&amp;J376,'LCA data'!$B$7:$X$360,19,FALSE)*(K376*10^3)*C376))</f>
        <v>0</v>
      </c>
      <c r="Y376" s="323"/>
      <c r="Z376" s="323"/>
      <c r="AA376" s="323"/>
      <c r="AB376" s="323"/>
      <c r="AC376" s="323"/>
      <c r="AD376" s="323"/>
      <c r="AE376" s="323"/>
      <c r="AF376" s="323"/>
      <c r="AG376" s="323"/>
      <c r="AH376" s="323"/>
      <c r="AI376" s="323"/>
      <c r="AJ376" s="323"/>
      <c r="AK376" s="323"/>
      <c r="AL376" s="323"/>
      <c r="AM376" s="323"/>
      <c r="AN376" s="323">
        <f>IF(E376="Angiv ikke",0,((1+H376)*VLOOKUP(B376&amp;"_"&amp;E376,'LCA data'!$B$7:$X$360,20,FALSE)*(F376*10^3)*C376))</f>
        <v>0</v>
      </c>
      <c r="AO376" s="323">
        <f>IF(J376="Angiv ikke",0,((1+M376)*VLOOKUP(B376&amp;"_"&amp;J376,'LCA data'!$B$7:$X$360,20,FALSE)*(K376*10^3)*C376))</f>
        <v>0</v>
      </c>
      <c r="AP376" s="323"/>
      <c r="AQ376" s="323"/>
      <c r="AR376" s="323">
        <f>IF(E376="Angiv ikke",0,((1+H376)*VLOOKUP(B376&amp;"_"&amp;E376,'LCA data'!$B$7:$AA$360,26,FALSE)*(F376*10^3)*C376))</f>
        <v>0</v>
      </c>
      <c r="AS376" s="323">
        <f>IF(J376="Angiv ikke",0,((1+M376)*VLOOKUP(B376&amp;"_"&amp;J376,'LCA data'!$B$7:$AA$360,26,FALSE)*(K376*10^3)*C376))</f>
        <v>0</v>
      </c>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3"/>
      <c r="BR376" s="323"/>
      <c r="BS376" s="323"/>
      <c r="BT376" s="323"/>
      <c r="BU376" s="323"/>
      <c r="BV376" s="323"/>
      <c r="BW376" s="323"/>
      <c r="BX376" s="323"/>
      <c r="BY376" s="323"/>
      <c r="BZ376" s="323"/>
      <c r="CA376" s="323"/>
      <c r="CB376" s="323"/>
      <c r="CC376" s="323"/>
      <c r="CD376" s="323"/>
      <c r="CE376" s="323"/>
      <c r="CF376" s="323"/>
      <c r="CG376" s="323"/>
      <c r="CH376" s="323"/>
      <c r="CI376" s="323"/>
      <c r="CJ376" s="323"/>
      <c r="CK376" s="323"/>
      <c r="CL376" s="323"/>
      <c r="CM376" s="323"/>
      <c r="CN376" s="323"/>
      <c r="CO376" s="323"/>
      <c r="CP376" s="428"/>
      <c r="CQ376" s="441"/>
      <c r="CR376" s="323"/>
      <c r="CS376" s="323"/>
      <c r="CT376" s="323"/>
      <c r="CU376" s="323"/>
      <c r="CV376" s="323"/>
      <c r="CW376" s="323"/>
      <c r="CX376" s="323"/>
      <c r="CY376" s="323"/>
      <c r="CZ376" s="323"/>
    </row>
    <row r="377" spans="2:222" ht="40.4" hidden="1" customHeight="1" outlineLevel="1" thickBot="1" x14ac:dyDescent="0.4">
      <c r="B377" s="209" t="str">
        <f>'LCA data'!$B$65</f>
        <v>Indvendig beklædning</v>
      </c>
      <c r="C377" s="471">
        <f>$C$372*$C$46</f>
        <v>0</v>
      </c>
      <c r="D377" s="171" t="s">
        <v>103</v>
      </c>
      <c r="E377" s="382" t="str">
        <f>IF($D$373=$D$82,D377,VLOOKUP(B377,Auto_Skillevæg[],VLOOKUP($D$373,Type_Tung_Middel_Let[],2,0),0))</f>
        <v>Angiv ikke</v>
      </c>
      <c r="F377" s="459">
        <f>(VLOOKUP(E377,Pris.indvendig.beklædning[],4,0))/1000</f>
        <v>0</v>
      </c>
      <c r="G377" s="354"/>
      <c r="H377" s="355" t="str">
        <f>IFERROR(IF(VLOOKUP(B377&amp;"_"&amp;E377,'LCA data'!$B$7:$X$200,2,FALSE)&lt;$Y$24,1,0)+IF(VLOOKUP(B377&amp;"_"&amp;E377,'LCA data'!$B$7:$X$200,2,FALSE)*2&lt;$Y$24,1,0),"")</f>
        <v/>
      </c>
      <c r="I377" s="171" t="s">
        <v>103</v>
      </c>
      <c r="J377" s="382" t="str">
        <f>IF($I$373=$D$82,I377,VLOOKUP(B377,Auto_Skillevæg[],VLOOKUP($I$373,Type_Tung_Middel_Let[],2,0),0))</f>
        <v>Angiv ikke</v>
      </c>
      <c r="K377" s="518">
        <f>(VLOOKUP(J377,Pris.indvendig.beklædning[],4,0))/1000</f>
        <v>0</v>
      </c>
      <c r="L377" s="519"/>
      <c r="M377" s="520" t="str">
        <f>IFERROR(IF(VLOOKUP(B377&amp;"_"&amp;J377,'LCA data'!$B$7:$X$200,2,FALSE)&lt;$Y$24,1,0)+IF(VLOOKUP(B377&amp;"_"&amp;J377,'LCA data'!$B$7:$X$200,2,FALSE)*2&lt;$Y$24,1,0),"")</f>
        <v/>
      </c>
      <c r="N377" s="210">
        <f>W377/1000</f>
        <v>0</v>
      </c>
      <c r="O377" s="879"/>
      <c r="P377" s="211">
        <f>X377/1000</f>
        <v>0</v>
      </c>
      <c r="Q377" s="890"/>
      <c r="R377" s="212"/>
      <c r="S377" s="213"/>
      <c r="U377" s="251"/>
      <c r="V377" s="251"/>
      <c r="W377" s="323">
        <f>IF(E377="Angiv ikke",0,((1+H377)*VLOOKUP(B377&amp;"_"&amp;E377,'LCA data'!$B$7:$X$360,19,FALSE)*(F377*10^3)*C377))</f>
        <v>0</v>
      </c>
      <c r="X377" s="323">
        <f>IF(J377="Angiv ikke",0,((1+M377)*VLOOKUP(B377&amp;"_"&amp;J377,'LCA data'!$B$7:$X$360,19,FALSE)*(K377*10^3)*C377))</f>
        <v>0</v>
      </c>
      <c r="Y377" s="323"/>
      <c r="Z377" s="323"/>
      <c r="AA377" s="323"/>
      <c r="AB377" s="323"/>
      <c r="AC377" s="323"/>
      <c r="AD377" s="323"/>
      <c r="AE377" s="323"/>
      <c r="AF377" s="323"/>
      <c r="AG377" s="323"/>
      <c r="AH377" s="323"/>
      <c r="AI377" s="323"/>
      <c r="AJ377" s="323"/>
      <c r="AK377" s="323"/>
      <c r="AL377" s="323"/>
      <c r="AM377" s="323"/>
      <c r="AN377" s="323">
        <f>IF(E377="Angiv ikke",0,((1+H377)*VLOOKUP(B377&amp;"_"&amp;E377,'LCA data'!$B$7:$X$360,20,FALSE)*(F377*10^3)*C377))</f>
        <v>0</v>
      </c>
      <c r="AO377" s="323">
        <f>IF(J377="Angiv ikke",0,((1+M377)*VLOOKUP(B377&amp;"_"&amp;J377,'LCA data'!$B$7:$X$360,20,FALSE)*(K377*10^3)*C377))</f>
        <v>0</v>
      </c>
      <c r="AP377" s="323"/>
      <c r="AQ377" s="323"/>
      <c r="AR377" s="323">
        <f>IF(E377="Angiv ikke",0,((1+H377)*VLOOKUP(B377&amp;"_"&amp;E377,'LCA data'!$B$7:$AA$360,26,FALSE)*(F377*10^3)*C377))</f>
        <v>0</v>
      </c>
      <c r="AS377" s="323">
        <f>IF(J377="Angiv ikke",0,((1+M377)*VLOOKUP(B377&amp;"_"&amp;J377,'LCA data'!$B$7:$AA$360,26,FALSE)*(K377*10^3)*C377))</f>
        <v>0</v>
      </c>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3"/>
      <c r="BR377" s="323"/>
      <c r="BS377" s="323"/>
      <c r="BT377" s="323"/>
      <c r="BU377" s="323"/>
      <c r="BV377" s="323"/>
      <c r="BW377" s="323"/>
      <c r="BX377" s="323"/>
      <c r="BY377" s="323"/>
      <c r="BZ377" s="323"/>
      <c r="CA377" s="323"/>
      <c r="CB377" s="323"/>
      <c r="CC377" s="323"/>
      <c r="CD377" s="323"/>
      <c r="CE377" s="323"/>
      <c r="CF377" s="323"/>
      <c r="CG377" s="323"/>
      <c r="CH377" s="323"/>
      <c r="CI377" s="323"/>
      <c r="CJ377" s="323"/>
      <c r="CK377" s="323"/>
      <c r="CL377" s="323"/>
      <c r="CM377" s="323"/>
      <c r="CN377" s="323"/>
      <c r="CO377" s="323"/>
      <c r="CP377" s="428"/>
      <c r="CQ377" s="441"/>
      <c r="CR377" s="323"/>
      <c r="CS377" s="323"/>
      <c r="CT377" s="323"/>
      <c r="CU377" s="323"/>
      <c r="CV377" s="323"/>
      <c r="CW377" s="323"/>
      <c r="CX377" s="323"/>
      <c r="CY377" s="323"/>
      <c r="CZ377" s="323"/>
    </row>
    <row r="378" spans="2:222" ht="17.149999999999999" hidden="1" customHeight="1" outlineLevel="1" x14ac:dyDescent="0.35">
      <c r="B378" s="173" t="s">
        <v>128</v>
      </c>
      <c r="C378" s="217"/>
      <c r="E378" s="217"/>
      <c r="F378" s="217"/>
      <c r="G378" s="217"/>
      <c r="H378" s="217"/>
      <c r="J378" s="217"/>
      <c r="K378" s="217"/>
      <c r="L378" s="217"/>
      <c r="M378" s="217"/>
      <c r="N378" s="217"/>
      <c r="O378" s="217"/>
      <c r="P378" s="217"/>
      <c r="Q378" s="217"/>
      <c r="R378" s="217"/>
      <c r="U378" s="251"/>
      <c r="V378" s="251"/>
      <c r="W378" s="323">
        <f>IFERROR(IF(OR(E378="Angiv ikke",J378="Angiv ikke"),0,(VLOOKUP(B378&amp;"_"&amp;J378,'LCA data'!$B$7:$X$2106,19,FALSE)+M378*VLOOKUP(B378&amp;"_"&amp;J378,'LCA data'!$B$7:$X$2106,19,FALSE))*(K378*10^3)*C378),0)</f>
        <v>0</v>
      </c>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3"/>
      <c r="BR378" s="323"/>
      <c r="BS378" s="323"/>
      <c r="BT378" s="323"/>
      <c r="BU378" s="323"/>
      <c r="BV378" s="323"/>
      <c r="BW378" s="323"/>
      <c r="BX378" s="323"/>
      <c r="BY378" s="323"/>
      <c r="BZ378" s="323"/>
      <c r="CA378" s="323"/>
      <c r="CB378" s="323"/>
      <c r="CC378" s="323"/>
      <c r="CD378" s="323"/>
      <c r="CE378" s="323"/>
      <c r="CF378" s="323"/>
      <c r="CG378" s="323"/>
      <c r="CH378" s="323"/>
      <c r="CI378" s="323"/>
      <c r="CJ378" s="323"/>
      <c r="CK378" s="323"/>
      <c r="CL378" s="323"/>
      <c r="CM378" s="323"/>
      <c r="CN378" s="323"/>
      <c r="CO378" s="323"/>
      <c r="CP378" s="439"/>
      <c r="CQ378" s="446"/>
      <c r="CR378" s="323"/>
      <c r="CS378" s="323"/>
      <c r="CT378" s="323"/>
      <c r="CU378" s="323"/>
      <c r="CV378" s="323"/>
      <c r="CW378" s="323"/>
      <c r="CX378" s="323"/>
      <c r="CY378" s="323"/>
      <c r="CZ378" s="323"/>
    </row>
    <row r="379" spans="2:222" ht="17.149999999999999" customHeight="1" collapsed="1" x14ac:dyDescent="0.35">
      <c r="B379" s="542"/>
      <c r="C379" s="558"/>
      <c r="D379" s="542"/>
      <c r="E379" s="558"/>
      <c r="F379" s="558"/>
      <c r="G379" s="558"/>
      <c r="H379" s="558"/>
      <c r="I379" s="542"/>
      <c r="J379" s="558"/>
      <c r="K379" s="558"/>
      <c r="L379" s="558"/>
      <c r="M379" s="558"/>
      <c r="N379" s="217"/>
      <c r="O379" s="217"/>
      <c r="P379" s="217"/>
      <c r="Q379" s="217"/>
      <c r="R379" s="217"/>
      <c r="U379" s="251"/>
      <c r="V379" s="251"/>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3"/>
      <c r="BR379" s="323"/>
      <c r="BS379" s="323"/>
      <c r="BT379" s="323"/>
      <c r="BU379" s="323"/>
      <c r="BV379" s="323"/>
      <c r="BW379" s="323"/>
      <c r="BX379" s="323"/>
      <c r="BY379" s="323"/>
      <c r="BZ379" s="323"/>
      <c r="CA379" s="323"/>
      <c r="CB379" s="323"/>
      <c r="CC379" s="323"/>
      <c r="CD379" s="323"/>
      <c r="CE379" s="323"/>
      <c r="CF379" s="323"/>
      <c r="CG379" s="323"/>
      <c r="CH379" s="323"/>
      <c r="CI379" s="323"/>
      <c r="CJ379" s="323"/>
      <c r="CK379" s="323"/>
      <c r="CL379" s="323"/>
      <c r="CM379" s="323"/>
      <c r="CN379" s="323"/>
      <c r="CO379" s="323"/>
      <c r="CP379" s="439"/>
      <c r="CQ379" s="440"/>
      <c r="CR379" s="323"/>
      <c r="CS379" s="323"/>
      <c r="CT379" s="323"/>
      <c r="CU379" s="323"/>
      <c r="CV379" s="323"/>
      <c r="CW379" s="323"/>
      <c r="CX379" s="323"/>
      <c r="CY379" s="323"/>
      <c r="CZ379" s="323"/>
    </row>
    <row r="380" spans="2:222" ht="29.25" hidden="1" customHeight="1" outlineLevel="1" x14ac:dyDescent="0.7">
      <c r="B380" s="493" t="s">
        <v>112</v>
      </c>
      <c r="C380" s="506"/>
      <c r="D380" s="506"/>
      <c r="E380" s="506" t="s">
        <v>39</v>
      </c>
      <c r="F380" s="499"/>
      <c r="G380" s="499"/>
      <c r="H380" s="499"/>
      <c r="I380" s="500" t="str">
        <f>"Skillevægstype"&amp;" "&amp;5</f>
        <v>Skillevægstype 5</v>
      </c>
      <c r="J380" s="500"/>
      <c r="K380" s="499"/>
      <c r="L380" s="499"/>
      <c r="M380" s="499"/>
      <c r="N380" s="499"/>
      <c r="O380" s="499"/>
      <c r="P380" s="499"/>
      <c r="Q380" s="501"/>
      <c r="R380" s="409"/>
      <c r="S380" s="191"/>
      <c r="U380" s="251"/>
      <c r="V380" s="251"/>
      <c r="W380" s="323">
        <f>IF(D383=$D$82,1,0)</f>
        <v>1</v>
      </c>
      <c r="X380" s="323">
        <f>IF(I383=$D$82,1,0)</f>
        <v>1</v>
      </c>
      <c r="Y380" s="323"/>
      <c r="Z380" s="323"/>
      <c r="AA380" s="323"/>
      <c r="AB380" s="323"/>
      <c r="AC380" s="323"/>
      <c r="AD380" s="323"/>
      <c r="AE380" s="323"/>
      <c r="AF380" s="323"/>
      <c r="AG380" s="323"/>
      <c r="AH380" s="323"/>
      <c r="AI380" s="323"/>
      <c r="AJ380" s="323" t="s">
        <v>746</v>
      </c>
      <c r="AK380" s="323" t="s">
        <v>747</v>
      </c>
      <c r="AL380" s="323"/>
      <c r="AM380" s="323"/>
      <c r="AN380" s="323" t="s">
        <v>846</v>
      </c>
      <c r="AO380" s="323"/>
      <c r="AP380" s="323"/>
      <c r="AQ380" s="323"/>
      <c r="AR380" s="323" t="s">
        <v>851</v>
      </c>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3"/>
      <c r="BR380" s="323"/>
      <c r="BS380" s="323"/>
      <c r="BT380" s="323"/>
      <c r="BU380" s="323"/>
      <c r="BV380" s="323"/>
      <c r="BW380" s="323"/>
      <c r="BX380" s="323"/>
      <c r="BY380" s="323"/>
      <c r="BZ380" s="323"/>
      <c r="CA380" s="323"/>
      <c r="CB380" s="323"/>
      <c r="CC380" s="323"/>
      <c r="CD380" s="323"/>
      <c r="CE380" s="323"/>
      <c r="CF380" s="323"/>
      <c r="CG380" s="323"/>
      <c r="CH380" s="323"/>
      <c r="CI380" s="323"/>
      <c r="CJ380" s="323"/>
      <c r="CK380" s="323"/>
      <c r="CL380" s="323"/>
      <c r="CM380" s="323"/>
      <c r="CN380" s="323"/>
      <c r="CO380" s="323"/>
      <c r="CP380" s="447"/>
      <c r="CQ380" s="448"/>
      <c r="CR380" s="323"/>
      <c r="CS380" s="323"/>
      <c r="CT380" s="323"/>
      <c r="CU380" s="323"/>
      <c r="CV380" s="323"/>
      <c r="CW380" s="323"/>
      <c r="CX380" s="323"/>
      <c r="CY380" s="323"/>
      <c r="CZ380" s="323"/>
    </row>
    <row r="381" spans="2:222" ht="40.4" hidden="1" customHeight="1" outlineLevel="1" x14ac:dyDescent="0.35">
      <c r="B381" s="359" t="s">
        <v>78</v>
      </c>
      <c r="C381" s="195" t="s">
        <v>80</v>
      </c>
      <c r="D381" s="910" t="s">
        <v>4</v>
      </c>
      <c r="E381" s="911"/>
      <c r="F381" s="911"/>
      <c r="G381" s="911"/>
      <c r="H381" s="912"/>
      <c r="I381" s="885" t="s">
        <v>5</v>
      </c>
      <c r="J381" s="886"/>
      <c r="K381" s="886"/>
      <c r="L381" s="886"/>
      <c r="M381" s="887"/>
      <c r="N381" s="877" t="s">
        <v>79</v>
      </c>
      <c r="O381" s="877"/>
      <c r="P381" s="877"/>
      <c r="Q381" s="881"/>
      <c r="R381" s="192"/>
      <c r="S381" s="193"/>
      <c r="T381" s="175"/>
      <c r="U381" s="251"/>
      <c r="V381" s="251"/>
      <c r="W381" s="323"/>
      <c r="X381" s="323"/>
      <c r="Y381" s="323"/>
      <c r="Z381" s="323"/>
      <c r="AA381" s="323"/>
      <c r="AB381" s="323"/>
      <c r="AC381" s="323"/>
      <c r="AD381" s="323"/>
      <c r="AE381" s="323"/>
      <c r="AF381" s="323"/>
      <c r="AG381" s="323"/>
      <c r="AH381" s="323"/>
      <c r="AI381" s="323" t="str">
        <f>'LCA data'!$B$65</f>
        <v>Indvendig beklædning</v>
      </c>
      <c r="AJ381" s="323">
        <f>(VLOOKUP(E384,Pris.indvendig.beklædning[],2,0))*C384</f>
        <v>0</v>
      </c>
      <c r="AK381" s="323">
        <f>(VLOOKUP(J384,Pris.indvendig.beklædning[],2,0))*C384</f>
        <v>0</v>
      </c>
      <c r="AL381" s="323"/>
      <c r="AM381" s="323"/>
      <c r="AN381" s="323" t="s">
        <v>4</v>
      </c>
      <c r="AO381" s="323" t="s">
        <v>5</v>
      </c>
      <c r="AP381" s="323"/>
      <c r="AQ381" s="323"/>
      <c r="AR381" s="323" t="s">
        <v>4</v>
      </c>
      <c r="AS381" s="323" t="s">
        <v>5</v>
      </c>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3"/>
      <c r="BR381" s="323"/>
      <c r="BS381" s="323"/>
      <c r="BT381" s="323"/>
      <c r="BU381" s="323"/>
      <c r="BV381" s="323"/>
      <c r="BW381" s="323"/>
      <c r="BX381" s="323"/>
      <c r="BY381" s="323"/>
      <c r="BZ381" s="323"/>
      <c r="CA381" s="323"/>
      <c r="CB381" s="323"/>
      <c r="CC381" s="323"/>
      <c r="CD381" s="323"/>
      <c r="CE381" s="323"/>
      <c r="CF381" s="323"/>
      <c r="CG381" s="323"/>
      <c r="CH381" s="323"/>
      <c r="CI381" s="323"/>
      <c r="CJ381" s="323"/>
      <c r="CK381" s="323"/>
      <c r="CL381" s="323"/>
      <c r="CM381" s="323"/>
      <c r="CN381" s="323"/>
      <c r="CO381" s="323"/>
      <c r="CP381" s="439"/>
      <c r="CQ381" s="440"/>
      <c r="CR381" s="323"/>
      <c r="CS381" s="323"/>
      <c r="CT381" s="323"/>
      <c r="CU381" s="323"/>
      <c r="CV381" s="323"/>
      <c r="CW381" s="323"/>
      <c r="CX381" s="323"/>
      <c r="CY381" s="323"/>
      <c r="CZ381" s="323"/>
    </row>
    <row r="382" spans="2:222" ht="47.15" hidden="1" customHeight="1" outlineLevel="1" x14ac:dyDescent="0.35">
      <c r="B382" s="194"/>
      <c r="C382" s="665">
        <v>0</v>
      </c>
      <c r="D382" s="908" t="s">
        <v>797</v>
      </c>
      <c r="E382" s="909"/>
      <c r="F382" s="338" t="s">
        <v>82</v>
      </c>
      <c r="G382" s="338"/>
      <c r="H382" s="346" t="s">
        <v>84</v>
      </c>
      <c r="I382" s="913" t="s">
        <v>797</v>
      </c>
      <c r="J382" s="914"/>
      <c r="K382" s="479" t="s">
        <v>82</v>
      </c>
      <c r="L382" s="479"/>
      <c r="M382" s="508" t="s">
        <v>84</v>
      </c>
      <c r="N382" s="195" t="s">
        <v>4</v>
      </c>
      <c r="O382" s="195" t="s">
        <v>85</v>
      </c>
      <c r="P382" s="195" t="s">
        <v>5</v>
      </c>
      <c r="Q382" s="357" t="s">
        <v>86</v>
      </c>
      <c r="R382" s="192"/>
      <c r="S382" s="196"/>
      <c r="U382" s="251"/>
      <c r="V382" s="251"/>
      <c r="W382" s="323" t="s">
        <v>87</v>
      </c>
      <c r="X382" s="323" t="s">
        <v>88</v>
      </c>
      <c r="Y382" s="323"/>
      <c r="Z382" s="323"/>
      <c r="AA382" s="323" t="s">
        <v>91</v>
      </c>
      <c r="AB382" s="323"/>
      <c r="AC382" s="323"/>
      <c r="AD382" s="323"/>
      <c r="AE382" s="323" t="s">
        <v>92</v>
      </c>
      <c r="AF382" s="323"/>
      <c r="AG382" s="323"/>
      <c r="AH382" s="323"/>
      <c r="AI382" s="323" t="str">
        <f>'LCA data'!$B$32</f>
        <v>Isolering</v>
      </c>
      <c r="AJ382" s="323">
        <f>VLOOKUP(E385,Pris.isolering[],2,0)*F385*C385</f>
        <v>0</v>
      </c>
      <c r="AK382" s="323">
        <f>VLOOKUP(J385,Pris.isolering[],2,0)*K385*C385</f>
        <v>0</v>
      </c>
      <c r="AL382" s="323"/>
      <c r="AM382" s="323"/>
      <c r="AN382" s="323">
        <f>SUM(AN384:AN388)</f>
        <v>0</v>
      </c>
      <c r="AO382" s="323">
        <f>SUM(AO384:AO388)</f>
        <v>0</v>
      </c>
      <c r="AP382" s="323"/>
      <c r="AQ382" s="323"/>
      <c r="AR382" s="323">
        <f>SUM(AR384:AR387)</f>
        <v>0</v>
      </c>
      <c r="AS382" s="323">
        <f>SUM(AS384:AS387)</f>
        <v>0</v>
      </c>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3"/>
      <c r="BR382" s="323"/>
      <c r="BS382" s="323"/>
      <c r="BT382" s="323"/>
      <c r="BU382" s="323"/>
      <c r="BV382" s="323"/>
      <c r="BW382" s="323"/>
      <c r="BX382" s="323"/>
      <c r="BY382" s="323"/>
      <c r="BZ382" s="323"/>
      <c r="CA382" s="323"/>
      <c r="CB382" s="323"/>
      <c r="CC382" s="323"/>
      <c r="CD382" s="323"/>
      <c r="CE382" s="323"/>
      <c r="CF382" s="323"/>
      <c r="CG382" s="323"/>
      <c r="CH382" s="323"/>
      <c r="CI382" s="323"/>
      <c r="CJ382" s="323"/>
      <c r="CK382" s="323"/>
      <c r="CL382" s="323"/>
      <c r="CM382" s="323"/>
      <c r="CN382" s="323"/>
      <c r="CO382" s="323"/>
      <c r="CP382" s="439"/>
      <c r="CQ382" s="440"/>
      <c r="CR382" s="323"/>
      <c r="CS382" s="323"/>
      <c r="CT382" s="323"/>
      <c r="CU382" s="323"/>
      <c r="CV382" s="323"/>
      <c r="CW382" s="323"/>
      <c r="CX382" s="323"/>
      <c r="CY382" s="323"/>
      <c r="CZ382" s="323"/>
    </row>
    <row r="383" spans="2:222" s="198" customFormat="1" ht="26" hidden="1" customHeight="1" outlineLevel="1" x14ac:dyDescent="0.35">
      <c r="B383" s="199"/>
      <c r="C383" s="410" t="s">
        <v>801</v>
      </c>
      <c r="D383" s="915" t="s">
        <v>811</v>
      </c>
      <c r="E383" s="915"/>
      <c r="F383" s="347" t="s">
        <v>94</v>
      </c>
      <c r="G383" s="348"/>
      <c r="H383" s="349" t="s">
        <v>96</v>
      </c>
      <c r="I383" s="915" t="s">
        <v>811</v>
      </c>
      <c r="J383" s="915"/>
      <c r="K383" s="510" t="s">
        <v>94</v>
      </c>
      <c r="L383" s="511"/>
      <c r="M383" s="512" t="s">
        <v>96</v>
      </c>
      <c r="N383" s="201" t="s">
        <v>97</v>
      </c>
      <c r="O383" s="201" t="s">
        <v>97</v>
      </c>
      <c r="P383" s="201" t="s">
        <v>97</v>
      </c>
      <c r="Q383" s="358" t="s">
        <v>97</v>
      </c>
      <c r="R383" s="202"/>
      <c r="S383" s="203"/>
      <c r="T383" s="204"/>
      <c r="U383" s="325"/>
      <c r="V383" s="325"/>
      <c r="W383" s="323">
        <f>SUM(W384:W388)</f>
        <v>0</v>
      </c>
      <c r="X383" s="323">
        <f>SUM(X384:X388)</f>
        <v>0</v>
      </c>
      <c r="Y383" s="323"/>
      <c r="Z383" s="323"/>
      <c r="AA383" s="323"/>
      <c r="AB383" s="323" t="s">
        <v>111</v>
      </c>
      <c r="AC383" s="323"/>
      <c r="AD383" s="323" t="s">
        <v>99</v>
      </c>
      <c r="AE383" s="323" t="s">
        <v>100</v>
      </c>
      <c r="AF383" s="323"/>
      <c r="AG383" s="323"/>
      <c r="AH383" s="323"/>
      <c r="AI383" s="323" t="str">
        <f>'LCA data'!$B$201</f>
        <v>Skillevægskonstruktion</v>
      </c>
      <c r="AJ383" s="323">
        <f>VLOOKUP(E386,Pris.væg.konstruktion[],2,0)*C386</f>
        <v>0</v>
      </c>
      <c r="AK383" s="323">
        <f>VLOOKUP(J386,Pris.væg.konstruktion[],2,0)*C386</f>
        <v>0</v>
      </c>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c r="BN383" s="323"/>
      <c r="BO383" s="323"/>
      <c r="BP383" s="323"/>
      <c r="BQ383" s="323"/>
      <c r="BR383" s="323"/>
      <c r="BS383" s="323"/>
      <c r="BT383" s="323"/>
      <c r="BU383" s="323"/>
      <c r="BV383" s="323"/>
      <c r="BW383" s="323"/>
      <c r="BX383" s="323"/>
      <c r="BY383" s="323"/>
      <c r="BZ383" s="323"/>
      <c r="CA383" s="323"/>
      <c r="CB383" s="323"/>
      <c r="CC383" s="323"/>
      <c r="CD383" s="323"/>
      <c r="CE383" s="323"/>
      <c r="CF383" s="323"/>
      <c r="CG383" s="323"/>
      <c r="CH383" s="323"/>
      <c r="CI383" s="323"/>
      <c r="CJ383" s="323"/>
      <c r="CK383" s="323"/>
      <c r="CL383" s="323"/>
      <c r="CM383" s="323"/>
      <c r="CN383" s="323"/>
      <c r="CO383" s="323"/>
      <c r="CP383" s="428"/>
      <c r="CQ383" s="440"/>
      <c r="CR383" s="323"/>
      <c r="CS383" s="323"/>
      <c r="CT383" s="323"/>
      <c r="CU383" s="323"/>
      <c r="CV383" s="323"/>
      <c r="CW383" s="323"/>
      <c r="CX383" s="323"/>
      <c r="CY383" s="323"/>
      <c r="CZ383" s="323"/>
      <c r="DA383" s="325"/>
      <c r="DB383" s="325"/>
      <c r="DC383" s="325"/>
      <c r="DD383" s="325"/>
      <c r="DE383" s="325"/>
      <c r="DF383" s="325"/>
      <c r="DG383" s="325"/>
      <c r="DH383" s="325"/>
      <c r="DI383" s="325"/>
      <c r="DJ383" s="325"/>
      <c r="DK383" s="325"/>
      <c r="DL383" s="325"/>
      <c r="DM383" s="325"/>
      <c r="DN383" s="325"/>
      <c r="DO383" s="325"/>
      <c r="DP383" s="325"/>
      <c r="DQ383" s="325"/>
      <c r="DR383" s="325"/>
      <c r="DS383" s="325"/>
      <c r="DT383" s="325"/>
      <c r="DU383" s="325"/>
      <c r="DV383" s="325"/>
      <c r="DW383" s="325"/>
      <c r="DX383" s="325"/>
      <c r="DY383" s="325"/>
      <c r="DZ383" s="325"/>
      <c r="EA383" s="325"/>
      <c r="EB383" s="325"/>
      <c r="EC383" s="325"/>
      <c r="ED383" s="325"/>
      <c r="EE383" s="325"/>
      <c r="EF383" s="325"/>
      <c r="EG383" s="325"/>
      <c r="EH383" s="325"/>
      <c r="EI383" s="325"/>
      <c r="EJ383" s="325"/>
      <c r="EK383" s="325"/>
      <c r="EL383" s="325"/>
      <c r="EM383" s="325"/>
      <c r="EN383" s="325"/>
      <c r="EO383" s="325"/>
      <c r="EP383" s="325"/>
      <c r="EQ383" s="325"/>
      <c r="ER383" s="325"/>
      <c r="ES383" s="325"/>
      <c r="ET383" s="325"/>
      <c r="EU383" s="325"/>
      <c r="EV383" s="325"/>
      <c r="EW383" s="325"/>
      <c r="EX383" s="325"/>
      <c r="EY383" s="325"/>
      <c r="EZ383" s="325"/>
      <c r="FA383" s="325"/>
      <c r="FB383" s="325"/>
      <c r="FC383" s="325"/>
      <c r="FD383" s="325"/>
      <c r="FE383" s="325"/>
      <c r="FF383" s="325"/>
      <c r="FG383" s="325"/>
      <c r="FH383" s="325"/>
      <c r="FI383" s="325"/>
      <c r="FJ383" s="325"/>
      <c r="FK383" s="325"/>
      <c r="FL383" s="325"/>
      <c r="FM383" s="325"/>
      <c r="FN383" s="325"/>
      <c r="FO383" s="325"/>
      <c r="FP383" s="325"/>
      <c r="FQ383" s="325"/>
      <c r="FR383" s="325"/>
      <c r="FS383" s="325"/>
      <c r="FT383" s="325"/>
      <c r="FU383" s="325"/>
      <c r="FV383" s="325"/>
      <c r="FW383" s="325"/>
      <c r="FX383" s="325"/>
      <c r="FY383" s="325"/>
      <c r="FZ383" s="325"/>
      <c r="GA383" s="325"/>
      <c r="GB383" s="325"/>
      <c r="GC383" s="325"/>
      <c r="GD383" s="325"/>
      <c r="GE383" s="325"/>
      <c r="GF383" s="325"/>
      <c r="GG383" s="325"/>
      <c r="GH383" s="325"/>
      <c r="GI383" s="325"/>
      <c r="GJ383" s="325"/>
      <c r="GK383" s="325"/>
      <c r="GL383" s="325"/>
      <c r="GM383" s="325"/>
      <c r="GN383" s="325"/>
      <c r="GO383" s="325"/>
      <c r="GP383" s="325"/>
      <c r="GQ383" s="325"/>
      <c r="GR383" s="325"/>
      <c r="GS383" s="325"/>
      <c r="GT383" s="325"/>
      <c r="GU383" s="325"/>
      <c r="GV383" s="325"/>
      <c r="GW383" s="325"/>
      <c r="GX383" s="325"/>
      <c r="GY383" s="325"/>
      <c r="GZ383" s="325"/>
      <c r="HA383" s="325"/>
      <c r="HB383" s="325"/>
      <c r="HC383" s="325"/>
      <c r="HD383" s="325"/>
      <c r="HE383" s="325"/>
      <c r="HF383" s="325"/>
      <c r="HG383" s="325"/>
      <c r="HH383" s="325"/>
      <c r="HI383" s="325"/>
      <c r="HJ383" s="325"/>
      <c r="HK383" s="325"/>
      <c r="HL383" s="325"/>
      <c r="HM383" s="325"/>
      <c r="HN383" s="325"/>
    </row>
    <row r="384" spans="2:222" ht="40.4" hidden="1" customHeight="1" outlineLevel="1" x14ac:dyDescent="0.35">
      <c r="B384" s="363" t="str">
        <f>'LCA data'!$B$65</f>
        <v>Indvendig beklædning</v>
      </c>
      <c r="C384" s="470">
        <f>$C$382*$C$46</f>
        <v>0</v>
      </c>
      <c r="D384" s="15" t="s">
        <v>103</v>
      </c>
      <c r="E384" s="342" t="str">
        <f>IF($D$383=$D$82,D384,VLOOKUP(B384,Auto_Skillevæg[],VLOOKUP($D$383,Type_Tung_Middel_Let[],2,0),0))</f>
        <v>Angiv ikke</v>
      </c>
      <c r="F384" s="476">
        <f>(VLOOKUP(E384,Pris.indvendig.beklædning[],4,0))/1000</f>
        <v>0</v>
      </c>
      <c r="G384" s="350"/>
      <c r="H384" s="351" t="str">
        <f>IFERROR(IF(VLOOKUP(B384&amp;"_"&amp;E384,'LCA data'!$B$7:$X$200,2,FALSE)&lt;$Y$24,1,0)+IF(VLOOKUP(B384&amp;"_"&amp;E384,'LCA data'!$B$7:$X$200,2,FALSE)*2&lt;$Y$24,1,0),"")</f>
        <v/>
      </c>
      <c r="I384" s="15" t="s">
        <v>103</v>
      </c>
      <c r="J384" s="342" t="str">
        <f>IF($I$383=$D$82,I384,VLOOKUP(B384,Auto_Skillevæg[],VLOOKUP($I$383,Type_Tung_Middel_Let[],2,0),0))</f>
        <v>Angiv ikke</v>
      </c>
      <c r="K384" s="527">
        <f>(VLOOKUP(J384,Pris.indvendig.beklædning[],4,0))/1000</f>
        <v>0</v>
      </c>
      <c r="L384" s="514"/>
      <c r="M384" s="515" t="str">
        <f>IFERROR(IF(VLOOKUP(B384&amp;"_"&amp;J384,'LCA data'!$B$7:$X$200,2,FALSE)&lt;$Y$24,1,0)+IF(VLOOKUP(B384&amp;"_"&amp;J384,'LCA data'!$B$7:$X$200,2,FALSE)*2&lt;$Y$24,1,0),"")</f>
        <v/>
      </c>
      <c r="N384" s="364">
        <f>W384/1000</f>
        <v>0</v>
      </c>
      <c r="O384" s="880">
        <f>SUM(N384:N388)</f>
        <v>0</v>
      </c>
      <c r="P384" s="365">
        <f>X384/1000</f>
        <v>0</v>
      </c>
      <c r="Q384" s="888">
        <f>SUM(P384:P388)</f>
        <v>0</v>
      </c>
      <c r="R384" s="192"/>
      <c r="S384" s="196"/>
      <c r="U384" s="251"/>
      <c r="V384" s="251"/>
      <c r="W384" s="323">
        <f>IF(E384="Angiv ikke",0,((1+H384)*VLOOKUP(B384&amp;"_"&amp;E384,'LCA data'!$B$7:$X$360,19,FALSE)*(F384*10^3)*C384))</f>
        <v>0</v>
      </c>
      <c r="X384" s="323">
        <f>IF(J384="Angiv ikke",0,((1+M384)*VLOOKUP(B384&amp;"_"&amp;J384,'LCA data'!$B$7:$X$360,19,FALSE)*(K384*10^3)*C384))</f>
        <v>0</v>
      </c>
      <c r="Y384" s="323"/>
      <c r="Z384" s="323"/>
      <c r="AA384" s="323" t="s">
        <v>4</v>
      </c>
      <c r="AB384" s="323">
        <f>AF384/$J$21/$Y$24*1000</f>
        <v>0</v>
      </c>
      <c r="AC384" s="323"/>
      <c r="AD384" s="323">
        <f>AB384+AC384</f>
        <v>0</v>
      </c>
      <c r="AE384" s="323" t="s">
        <v>4</v>
      </c>
      <c r="AF384" s="323">
        <f>W383/1000</f>
        <v>0</v>
      </c>
      <c r="AG384" s="323"/>
      <c r="AH384" s="323"/>
      <c r="AI384" s="323" t="str">
        <f>'LCA data'!$B$65</f>
        <v>Indvendig beklædning</v>
      </c>
      <c r="AJ384" s="323">
        <f>(VLOOKUP(E387,Pris.indvendig.beklædning[],2,0))*C387</f>
        <v>0</v>
      </c>
      <c r="AK384" s="323">
        <f>(VLOOKUP(J387,Pris.indvendig.beklædning[],2,0))*C387</f>
        <v>0</v>
      </c>
      <c r="AL384" s="323"/>
      <c r="AM384" s="323"/>
      <c r="AN384" s="323">
        <f>IF(E384="Angiv ikke",0,((1+H384)*VLOOKUP(B384&amp;"_"&amp;E384,'LCA data'!$B$7:$X$360,20,FALSE)*(F384*10^3)*C384))</f>
        <v>0</v>
      </c>
      <c r="AO384" s="323">
        <f>IF(J384="Angiv ikke",0,((1+M384)*VLOOKUP(B384&amp;"_"&amp;J384,'LCA data'!$B$7:$X$360,20,FALSE)*(K384*10^3)*C384))</f>
        <v>0</v>
      </c>
      <c r="AP384" s="323"/>
      <c r="AQ384" s="323"/>
      <c r="AR384" s="323">
        <f>IF(E384="Angiv ikke",0,((1+H384)*VLOOKUP(B384&amp;"_"&amp;E384,'LCA data'!$B$7:$AA$360,26,FALSE)*(F384*10^3)*C384))</f>
        <v>0</v>
      </c>
      <c r="AS384" s="323">
        <f>IF(J384="Angiv ikke",0,((1+M384)*VLOOKUP(B384&amp;"_"&amp;J384,'LCA data'!$B$7:$AA$360,26,FALSE)*(K384*10^3)*C384))</f>
        <v>0</v>
      </c>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c r="BN384" s="323"/>
      <c r="BO384" s="323"/>
      <c r="BP384" s="323"/>
      <c r="BQ384" s="323"/>
      <c r="BR384" s="323"/>
      <c r="BS384" s="323"/>
      <c r="BT384" s="323"/>
      <c r="BU384" s="323"/>
      <c r="BV384" s="323"/>
      <c r="BW384" s="323"/>
      <c r="BX384" s="323"/>
      <c r="BY384" s="323"/>
      <c r="BZ384" s="323"/>
      <c r="CA384" s="323"/>
      <c r="CB384" s="323"/>
      <c r="CC384" s="323"/>
      <c r="CD384" s="323"/>
      <c r="CE384" s="323"/>
      <c r="CF384" s="323"/>
      <c r="CG384" s="323"/>
      <c r="CH384" s="323"/>
      <c r="CI384" s="323"/>
      <c r="CJ384" s="323"/>
      <c r="CK384" s="323"/>
      <c r="CL384" s="323"/>
      <c r="CM384" s="323"/>
      <c r="CN384" s="323"/>
      <c r="CO384" s="323"/>
      <c r="CP384" s="439"/>
      <c r="CQ384" s="440"/>
      <c r="CR384" s="323"/>
      <c r="CS384" s="323"/>
      <c r="CT384" s="323"/>
      <c r="CU384" s="323"/>
      <c r="CV384" s="323"/>
      <c r="CW384" s="323"/>
      <c r="CX384" s="323"/>
      <c r="CY384" s="323"/>
      <c r="CZ384" s="323"/>
    </row>
    <row r="385" spans="2:104" ht="40.4" hidden="1" customHeight="1" outlineLevel="1" x14ac:dyDescent="0.35">
      <c r="B385" s="208" t="str">
        <f>'LCA data'!$B$32</f>
        <v>Isolering</v>
      </c>
      <c r="C385" s="465">
        <f>$C$382*$C$46</f>
        <v>0</v>
      </c>
      <c r="D385" s="168" t="s">
        <v>103</v>
      </c>
      <c r="E385" s="342" t="str">
        <f>IF($D$383=$D$82,D385,VLOOKUP(B385,Auto_Skillevæg[],VLOOKUP($D$383,Type_Tung_Middel_Let[],2,0),0))</f>
        <v>Angiv ikke</v>
      </c>
      <c r="F385" s="172">
        <f>IF(OR(E386="Stålskelet",E386="Træskelet"),0.1,0)</f>
        <v>0</v>
      </c>
      <c r="G385" s="353"/>
      <c r="H385" s="351" t="str">
        <f>IFERROR(IF(VLOOKUP(B385&amp;"_"&amp;E385,'LCA data'!$B$7:$X$200,2,FALSE)&lt;$Y$24,1,0)+IF(VLOOKUP(B385&amp;"_"&amp;E385,'LCA data'!$B$7:$X$200,2,FALSE)*2&lt;$Y$24,1,0),"")</f>
        <v/>
      </c>
      <c r="I385" s="168" t="s">
        <v>103</v>
      </c>
      <c r="J385" s="342" t="str">
        <f>IF($I$383=$D$82,I385,VLOOKUP(B385,Auto_Skillevæg[],VLOOKUP($I$383,Type_Tung_Middel_Let[],2,0),0))</f>
        <v>Angiv ikke</v>
      </c>
      <c r="K385" s="172">
        <f>IF(OR(J386="Stålskelet",J386="Træskelet"),0.1,0)</f>
        <v>0</v>
      </c>
      <c r="L385" s="528"/>
      <c r="M385" s="515" t="str">
        <f>IFERROR(IF(VLOOKUP(B385&amp;"_"&amp;J385,'LCA data'!$B$7:$X$200,2,FALSE)&lt;$Y$24,1,0)+IF(VLOOKUP(B385&amp;"_"&amp;J385,'LCA data'!$B$7:$X$200,2,FALSE)*2&lt;$Y$24,1,0),"")</f>
        <v/>
      </c>
      <c r="N385" s="206">
        <f>W385/1000</f>
        <v>0</v>
      </c>
      <c r="O385" s="878"/>
      <c r="P385" s="207">
        <f>X385/1000</f>
        <v>0</v>
      </c>
      <c r="Q385" s="889"/>
      <c r="R385" s="192"/>
      <c r="S385" s="196"/>
      <c r="U385" s="251"/>
      <c r="V385" s="251"/>
      <c r="W385" s="323">
        <f>IF(E385="Angiv ikke",0,((1+H385)*VLOOKUP(B385&amp;"_"&amp;E385,'LCA data'!$B$7:$X$360,19,FALSE)*(F385*10^3)*C385))</f>
        <v>0</v>
      </c>
      <c r="X385" s="323">
        <f>IF(J385="Angiv ikke",0,((1+M385)*VLOOKUP(B385&amp;"_"&amp;J385,'LCA data'!$B$7:$X$360,19,FALSE)*(K385*10^3)*C385))</f>
        <v>0</v>
      </c>
      <c r="Y385" s="323"/>
      <c r="Z385" s="323"/>
      <c r="AA385" s="323" t="s">
        <v>5</v>
      </c>
      <c r="AB385" s="323">
        <f>AG385/$J$21/$Y$24*1000</f>
        <v>0</v>
      </c>
      <c r="AC385" s="323"/>
      <c r="AD385" s="323">
        <f>AB385+AC385</f>
        <v>0</v>
      </c>
      <c r="AE385" s="323" t="s">
        <v>5</v>
      </c>
      <c r="AF385" s="323"/>
      <c r="AG385" s="323">
        <f>X383/1000</f>
        <v>0</v>
      </c>
      <c r="AH385" s="323"/>
      <c r="AI385" s="323" t="s">
        <v>743</v>
      </c>
      <c r="AJ385" s="323">
        <f>SUM(AJ381:AJ384)</f>
        <v>0</v>
      </c>
      <c r="AK385" s="323">
        <f>SUM(AK381:AK384)</f>
        <v>0</v>
      </c>
      <c r="AL385" s="323"/>
      <c r="AM385" s="323"/>
      <c r="AN385" s="323">
        <f>IF(E385="Angiv ikke",0,((1+H385)*VLOOKUP(B385&amp;"_"&amp;E385,'LCA data'!$B$7:$X$360,20,FALSE)*(F385*10^3)*C385))</f>
        <v>0</v>
      </c>
      <c r="AO385" s="323">
        <f>IF(J385="Angiv ikke",0,((1+M385)*VLOOKUP(B385&amp;"_"&amp;J385,'LCA data'!$B$7:$X$360,20,FALSE)*(K385*10^3)*C385))</f>
        <v>0</v>
      </c>
      <c r="AP385" s="323"/>
      <c r="AQ385" s="323"/>
      <c r="AR385" s="323">
        <f>IF(E385="Angiv ikke",0,((1+H385)*VLOOKUP(B385&amp;"_"&amp;E385,'LCA data'!$B$7:$AA$360,26,FALSE)*(F385*10^3)*C385))</f>
        <v>0</v>
      </c>
      <c r="AS385" s="323">
        <f>IF(J385="Angiv ikke",0,((1+M385)*VLOOKUP(B385&amp;"_"&amp;J385,'LCA data'!$B$7:$AA$360,26,FALSE)*(K385*10^3)*C385))</f>
        <v>0</v>
      </c>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c r="BN385" s="323"/>
      <c r="BO385" s="323"/>
      <c r="BP385" s="323"/>
      <c r="BQ385" s="323"/>
      <c r="BR385" s="323"/>
      <c r="BS385" s="323"/>
      <c r="BT385" s="323"/>
      <c r="BU385" s="323"/>
      <c r="BV385" s="323"/>
      <c r="BW385" s="323"/>
      <c r="BX385" s="323"/>
      <c r="BY385" s="323"/>
      <c r="BZ385" s="323"/>
      <c r="CA385" s="323"/>
      <c r="CB385" s="323"/>
      <c r="CC385" s="323"/>
      <c r="CD385" s="323"/>
      <c r="CE385" s="323"/>
      <c r="CF385" s="323"/>
      <c r="CG385" s="323"/>
      <c r="CH385" s="323"/>
      <c r="CI385" s="323"/>
      <c r="CJ385" s="323"/>
      <c r="CK385" s="323"/>
      <c r="CL385" s="323"/>
      <c r="CM385" s="323"/>
      <c r="CN385" s="323"/>
      <c r="CO385" s="323"/>
      <c r="CP385" s="439"/>
      <c r="CQ385" s="440"/>
      <c r="CR385" s="323"/>
      <c r="CS385" s="323"/>
      <c r="CT385" s="323"/>
      <c r="CU385" s="323"/>
      <c r="CV385" s="323"/>
      <c r="CW385" s="323"/>
      <c r="CX385" s="323"/>
      <c r="CY385" s="323"/>
      <c r="CZ385" s="323"/>
    </row>
    <row r="386" spans="2:104" ht="40.4" hidden="1" customHeight="1" outlineLevel="1" x14ac:dyDescent="0.35">
      <c r="B386" s="205" t="str">
        <f>'LCA data'!$B$201</f>
        <v>Skillevægskonstruktion</v>
      </c>
      <c r="C386" s="465">
        <f>$C$382*$C$46</f>
        <v>0</v>
      </c>
      <c r="D386" s="169" t="s">
        <v>103</v>
      </c>
      <c r="E386" s="342" t="str">
        <f>IF($D$383=$D$82,D386,VLOOKUP(B386,Auto_Skillevæg[],VLOOKUP($D$383,Type_Tung_Middel_Let[],2,0),0))</f>
        <v>Angiv ikke</v>
      </c>
      <c r="F386" s="299">
        <f>IF(OR(E386="Stålskelet",E386="Træskelet"),F385,(VLOOKUP(E386,Pris.Skillevægs.konstruktion[],4,0)/1000))</f>
        <v>0</v>
      </c>
      <c r="G386" s="350"/>
      <c r="H386" s="351" t="str">
        <f>IFERROR(IF(VLOOKUP(B386&amp;"_"&amp;E386,'LCA data'!$B$7:$X$360,2,FALSE)&lt;$Y$24,1,0)+IF(VLOOKUP(B386&amp;"_"&amp;E386,'LCA data'!$B$7:$X$360,2,FALSE)*2&lt;$Y$24,1,0),"")</f>
        <v/>
      </c>
      <c r="I386" s="169" t="s">
        <v>103</v>
      </c>
      <c r="J386" s="342" t="str">
        <f>IF($I$383=$D$82,I386,VLOOKUP(B386,Auto_Skillevæg[],VLOOKUP($I$383,Type_Tung_Middel_Let[],2,0),0))</f>
        <v>Angiv ikke</v>
      </c>
      <c r="K386" s="299">
        <f>IF(OR(J386="Stålskelet",J386="Træskelet"),K385,(VLOOKUP(J386,Pris.Skillevægs.konstruktion[],4,0)/1000))</f>
        <v>0</v>
      </c>
      <c r="L386" s="514"/>
      <c r="M386" s="515" t="str">
        <f>IFERROR(IF(VLOOKUP(B386&amp;"_"&amp;J386,'LCA data'!$B$7:$X$360,2,FALSE)&lt;$Y$24,1,0)+IF(VLOOKUP(B386&amp;"_"&amp;J386,'LCA data'!$B$7:$X$360,2,FALSE)*2&lt;$Y$24,1,0),"")</f>
        <v/>
      </c>
      <c r="N386" s="206">
        <f>W386/1000</f>
        <v>0</v>
      </c>
      <c r="O386" s="878"/>
      <c r="P386" s="207">
        <f>X386/1000</f>
        <v>0</v>
      </c>
      <c r="Q386" s="889"/>
      <c r="R386" s="192"/>
      <c r="S386" s="196"/>
      <c r="U386" s="251"/>
      <c r="V386" s="251"/>
      <c r="W386" s="323">
        <f>IF(E386="Angiv ikke",0,((1+H386)*VLOOKUP(B386&amp;"_"&amp;E386,'LCA data'!$B$7:$X$360,19,FALSE)*(F386*10^3)*C386))</f>
        <v>0</v>
      </c>
      <c r="X386" s="323">
        <f>IF(J386="Angiv ikke",0,((1+M386)*VLOOKUP(B386&amp;"_"&amp;J386,'LCA data'!$B$7:$X$360,19,FALSE)*(K386*10^3)*C386))</f>
        <v>0</v>
      </c>
      <c r="Y386" s="323"/>
      <c r="Z386" s="323"/>
      <c r="AA386" s="323"/>
      <c r="AB386" s="323"/>
      <c r="AC386" s="323"/>
      <c r="AD386" s="323"/>
      <c r="AE386" s="323"/>
      <c r="AF386" s="323"/>
      <c r="AG386" s="323"/>
      <c r="AH386" s="323"/>
      <c r="AI386" s="323"/>
      <c r="AJ386" s="323"/>
      <c r="AK386" s="323"/>
      <c r="AL386" s="323"/>
      <c r="AM386" s="323"/>
      <c r="AN386" s="323">
        <f>IF(E386="Angiv ikke",0,((1+H386)*VLOOKUP(B386&amp;"_"&amp;E386,'LCA data'!$B$7:$X$360,20,FALSE)*(F386*10^3)*C386))</f>
        <v>0</v>
      </c>
      <c r="AO386" s="323">
        <f>IF(J386="Angiv ikke",0,((1+M386)*VLOOKUP(B386&amp;"_"&amp;J386,'LCA data'!$B$7:$X$360,20,FALSE)*(K386*10^3)*C386))</f>
        <v>0</v>
      </c>
      <c r="AP386" s="323"/>
      <c r="AQ386" s="323"/>
      <c r="AR386" s="323">
        <f>IF(E386="Angiv ikke",0,((1+H386)*VLOOKUP(B386&amp;"_"&amp;E386,'LCA data'!$B$7:$AA$360,26,FALSE)*(F386*10^3)*C386))</f>
        <v>0</v>
      </c>
      <c r="AS386" s="323">
        <f>IF(J386="Angiv ikke",0,((1+M386)*VLOOKUP(B386&amp;"_"&amp;J386,'LCA data'!$B$7:$AA$360,26,FALSE)*(K386*10^3)*C386))</f>
        <v>0</v>
      </c>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c r="BN386" s="323"/>
      <c r="BO386" s="323"/>
      <c r="BP386" s="323"/>
      <c r="BQ386" s="323"/>
      <c r="BR386" s="323"/>
      <c r="BS386" s="323"/>
      <c r="BT386" s="323"/>
      <c r="BU386" s="323"/>
      <c r="BV386" s="323"/>
      <c r="BW386" s="323"/>
      <c r="BX386" s="323"/>
      <c r="BY386" s="323"/>
      <c r="BZ386" s="323"/>
      <c r="CA386" s="323"/>
      <c r="CB386" s="323"/>
      <c r="CC386" s="323"/>
      <c r="CD386" s="323"/>
      <c r="CE386" s="323"/>
      <c r="CF386" s="323"/>
      <c r="CG386" s="323"/>
      <c r="CH386" s="323"/>
      <c r="CI386" s="323"/>
      <c r="CJ386" s="323"/>
      <c r="CK386" s="323"/>
      <c r="CL386" s="323"/>
      <c r="CM386" s="323"/>
      <c r="CN386" s="323"/>
      <c r="CO386" s="323"/>
      <c r="CP386" s="439"/>
      <c r="CQ386" s="440"/>
      <c r="CR386" s="323"/>
      <c r="CS386" s="323"/>
      <c r="CT386" s="323"/>
      <c r="CU386" s="323"/>
      <c r="CV386" s="323"/>
      <c r="CW386" s="323"/>
      <c r="CX386" s="323"/>
      <c r="CY386" s="323"/>
      <c r="CZ386" s="323"/>
    </row>
    <row r="387" spans="2:104" ht="40.4" hidden="1" customHeight="1" outlineLevel="1" thickBot="1" x14ac:dyDescent="0.4">
      <c r="B387" s="209" t="str">
        <f>'LCA data'!$B$65</f>
        <v>Indvendig beklædning</v>
      </c>
      <c r="C387" s="471">
        <f>$C$382*$C$46</f>
        <v>0</v>
      </c>
      <c r="D387" s="171" t="s">
        <v>103</v>
      </c>
      <c r="E387" s="382" t="str">
        <f>IF($D$383=$D$82,D387,VLOOKUP(B387,Auto_Skillevæg[],VLOOKUP($D$383,Type_Tung_Middel_Let[],2,0),0))</f>
        <v>Angiv ikke</v>
      </c>
      <c r="F387" s="459">
        <f>(VLOOKUP(E387,Pris.indvendig.beklædning[],4,0))/1000</f>
        <v>0</v>
      </c>
      <c r="G387" s="354"/>
      <c r="H387" s="355" t="str">
        <f>IFERROR(IF(VLOOKUP(B387&amp;"_"&amp;E387,'LCA data'!$B$7:$X$200,2,FALSE)&lt;$Y$24,1,0)+IF(VLOOKUP(B387&amp;"_"&amp;E387,'LCA data'!$B$7:$X$200,2,FALSE)*2&lt;$Y$24,1,0),"")</f>
        <v/>
      </c>
      <c r="I387" s="171" t="s">
        <v>103</v>
      </c>
      <c r="J387" s="382" t="str">
        <f>IF($I$383=$D$82,I387,VLOOKUP(B387,Auto_Skillevæg[],VLOOKUP($I$383,Type_Tung_Middel_Let[],2,0),0))</f>
        <v>Angiv ikke</v>
      </c>
      <c r="K387" s="518">
        <f>(VLOOKUP(J387,Pris.indvendig.beklædning[],4,0))/1000</f>
        <v>0</v>
      </c>
      <c r="L387" s="519"/>
      <c r="M387" s="520" t="str">
        <f>IFERROR(IF(VLOOKUP(B387&amp;"_"&amp;J387,'LCA data'!$B$7:$X$200,2,FALSE)&lt;$Y$24,1,0)+IF(VLOOKUP(B387&amp;"_"&amp;J387,'LCA data'!$B$7:$X$200,2,FALSE)*2&lt;$Y$24,1,0),"")</f>
        <v/>
      </c>
      <c r="N387" s="210">
        <f>W387/1000</f>
        <v>0</v>
      </c>
      <c r="O387" s="879"/>
      <c r="P387" s="211">
        <f>X387/1000</f>
        <v>0</v>
      </c>
      <c r="Q387" s="890"/>
      <c r="R387" s="212"/>
      <c r="S387" s="213"/>
      <c r="U387" s="251"/>
      <c r="V387" s="251"/>
      <c r="W387" s="323">
        <f>IF(E387="Angiv ikke",0,((1+H387)*VLOOKUP(B387&amp;"_"&amp;E387,'LCA data'!$B$7:$X$360,19,FALSE)*(F387*10^3)*C387))</f>
        <v>0</v>
      </c>
      <c r="X387" s="323">
        <f>IF(J387="Angiv ikke",0,((1+M387)*VLOOKUP(B387&amp;"_"&amp;J387,'LCA data'!$B$7:$X$360,19,FALSE)*(K387*10^3)*C387))</f>
        <v>0</v>
      </c>
      <c r="Y387" s="323"/>
      <c r="Z387" s="323"/>
      <c r="AA387" s="323"/>
      <c r="AB387" s="323"/>
      <c r="AC387" s="323"/>
      <c r="AD387" s="323"/>
      <c r="AE387" s="323"/>
      <c r="AF387" s="323"/>
      <c r="AG387" s="323"/>
      <c r="AH387" s="323"/>
      <c r="AI387" s="323"/>
      <c r="AJ387" s="323"/>
      <c r="AK387" s="323"/>
      <c r="AL387" s="323"/>
      <c r="AM387" s="323"/>
      <c r="AN387" s="323">
        <f>IF(E387="Angiv ikke",0,((1+H387)*VLOOKUP(B387&amp;"_"&amp;E387,'LCA data'!$B$7:$X$360,20,FALSE)*(F387*10^3)*C387))</f>
        <v>0</v>
      </c>
      <c r="AO387" s="323">
        <f>IF(J387="Angiv ikke",0,((1+M387)*VLOOKUP(B387&amp;"_"&amp;J387,'LCA data'!$B$7:$X$360,20,FALSE)*(K387*10^3)*C387))</f>
        <v>0</v>
      </c>
      <c r="AP387" s="323"/>
      <c r="AQ387" s="323"/>
      <c r="AR387" s="323">
        <f>IF(E387="Angiv ikke",0,((1+H387)*VLOOKUP(B387&amp;"_"&amp;E387,'LCA data'!$B$7:$AA$360,26,FALSE)*(F387*10^3)*C387))</f>
        <v>0</v>
      </c>
      <c r="AS387" s="323">
        <f>IF(J387="Angiv ikke",0,((1+M387)*VLOOKUP(B387&amp;"_"&amp;J387,'LCA data'!$B$7:$AA$360,26,FALSE)*(K387*10^3)*C387))</f>
        <v>0</v>
      </c>
      <c r="AT387" s="323"/>
      <c r="AU387" s="323"/>
      <c r="AV387" s="323"/>
      <c r="AW387" s="323"/>
      <c r="AX387" s="323"/>
      <c r="AY387" s="323"/>
      <c r="AZ387" s="323"/>
      <c r="BA387" s="323"/>
      <c r="BB387" s="323"/>
      <c r="BC387" s="323"/>
      <c r="BD387" s="323"/>
      <c r="BE387" s="323"/>
      <c r="BF387" s="323"/>
      <c r="BG387" s="323"/>
      <c r="BH387" s="323"/>
      <c r="BI387" s="323"/>
      <c r="BJ387" s="323"/>
      <c r="BK387" s="323"/>
      <c r="BL387" s="323"/>
      <c r="BM387" s="323"/>
      <c r="BN387" s="323"/>
      <c r="BO387" s="323"/>
      <c r="BP387" s="323"/>
      <c r="BQ387" s="323"/>
      <c r="BR387" s="323"/>
      <c r="BS387" s="323"/>
      <c r="BT387" s="323"/>
      <c r="BU387" s="323"/>
      <c r="BV387" s="323"/>
      <c r="BW387" s="323"/>
      <c r="BX387" s="323"/>
      <c r="BY387" s="323"/>
      <c r="BZ387" s="323"/>
      <c r="CA387" s="323"/>
      <c r="CB387" s="323"/>
      <c r="CC387" s="323"/>
      <c r="CD387" s="323"/>
      <c r="CE387" s="323"/>
      <c r="CF387" s="323"/>
      <c r="CG387" s="323"/>
      <c r="CH387" s="323"/>
      <c r="CI387" s="323"/>
      <c r="CJ387" s="323"/>
      <c r="CK387" s="323"/>
      <c r="CL387" s="323"/>
      <c r="CM387" s="323"/>
      <c r="CN387" s="323"/>
      <c r="CO387" s="323"/>
      <c r="CP387" s="428"/>
      <c r="CQ387" s="441"/>
      <c r="CR387" s="323"/>
      <c r="CS387" s="323"/>
      <c r="CT387" s="323"/>
      <c r="CU387" s="323"/>
      <c r="CV387" s="323"/>
      <c r="CW387" s="323"/>
      <c r="CX387" s="323"/>
      <c r="CY387" s="323"/>
      <c r="CZ387" s="323"/>
    </row>
    <row r="388" spans="2:104" ht="17.149999999999999" customHeight="1" collapsed="1" x14ac:dyDescent="0.35">
      <c r="B388" s="542"/>
      <c r="C388" s="558"/>
      <c r="D388" s="542"/>
      <c r="E388" s="558"/>
      <c r="F388" s="558"/>
      <c r="G388" s="558"/>
      <c r="H388" s="558"/>
      <c r="I388" s="542"/>
      <c r="J388" s="558"/>
      <c r="K388" s="558"/>
      <c r="L388" s="558"/>
      <c r="M388" s="558"/>
      <c r="N388" s="217"/>
      <c r="O388" s="217"/>
      <c r="P388" s="217"/>
      <c r="Q388" s="217"/>
      <c r="R388" s="217"/>
      <c r="U388" s="251"/>
      <c r="V388" s="251"/>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c r="BN388" s="323"/>
      <c r="BO388" s="323"/>
      <c r="BP388" s="323"/>
      <c r="BQ388" s="323"/>
      <c r="BR388" s="323"/>
      <c r="BS388" s="323"/>
      <c r="BT388" s="323"/>
      <c r="BU388" s="323"/>
      <c r="BV388" s="323"/>
      <c r="BW388" s="323"/>
      <c r="BX388" s="323"/>
      <c r="BY388" s="323"/>
      <c r="BZ388" s="323"/>
      <c r="CA388" s="323"/>
      <c r="CB388" s="323"/>
      <c r="CC388" s="323"/>
      <c r="CD388" s="323"/>
      <c r="CE388" s="323"/>
      <c r="CF388" s="323"/>
      <c r="CG388" s="323"/>
      <c r="CH388" s="323"/>
      <c r="CI388" s="323"/>
      <c r="CJ388" s="323"/>
      <c r="CK388" s="323"/>
      <c r="CL388" s="323"/>
      <c r="CM388" s="323"/>
      <c r="CN388" s="323"/>
      <c r="CO388" s="323"/>
      <c r="CP388" s="439"/>
      <c r="CQ388" s="446"/>
      <c r="CR388" s="323"/>
      <c r="CS388" s="323"/>
      <c r="CT388" s="323"/>
      <c r="CU388" s="323"/>
      <c r="CV388" s="323"/>
      <c r="CW388" s="323"/>
      <c r="CX388" s="323"/>
      <c r="CY388" s="323"/>
      <c r="CZ388" s="323"/>
    </row>
    <row r="389" spans="2:104" ht="17.149999999999999" customHeight="1" thickBot="1" x14ac:dyDescent="0.4">
      <c r="C389" s="217"/>
      <c r="D389" s="217"/>
      <c r="E389" s="217"/>
      <c r="F389" s="217"/>
      <c r="G389" s="217"/>
      <c r="H389" s="217"/>
      <c r="I389" s="217"/>
      <c r="J389" s="217"/>
      <c r="K389" s="217"/>
      <c r="L389" s="217"/>
      <c r="M389" s="217"/>
      <c r="N389" s="217"/>
      <c r="O389" s="217"/>
      <c r="P389" s="217"/>
      <c r="Q389" s="217"/>
      <c r="R389" s="217"/>
      <c r="U389" s="251"/>
      <c r="V389" s="251"/>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c r="BN389" s="323"/>
      <c r="BO389" s="323"/>
      <c r="BP389" s="323"/>
      <c r="BQ389" s="323"/>
      <c r="BR389" s="323"/>
      <c r="BS389" s="323"/>
      <c r="BT389" s="323"/>
      <c r="BU389" s="323"/>
      <c r="BV389" s="323"/>
      <c r="BW389" s="323"/>
      <c r="BX389" s="323"/>
      <c r="BY389" s="323"/>
      <c r="BZ389" s="323"/>
      <c r="CA389" s="323"/>
      <c r="CB389" s="323"/>
      <c r="CC389" s="323"/>
      <c r="CD389" s="323"/>
      <c r="CE389" s="323"/>
      <c r="CF389" s="323"/>
      <c r="CG389" s="323"/>
      <c r="CH389" s="323"/>
      <c r="CI389" s="323"/>
      <c r="CJ389" s="323"/>
      <c r="CK389" s="323"/>
      <c r="CL389" s="323"/>
      <c r="CM389" s="323"/>
      <c r="CN389" s="323"/>
      <c r="CO389" s="323"/>
      <c r="CP389" s="439"/>
      <c r="CQ389" s="440"/>
      <c r="CR389" s="323"/>
      <c r="CS389" s="323"/>
      <c r="CT389" s="323"/>
      <c r="CU389" s="323"/>
      <c r="CV389" s="323"/>
      <c r="CW389" s="323"/>
      <c r="CX389" s="323"/>
      <c r="CY389" s="323"/>
      <c r="CZ389" s="323"/>
    </row>
    <row r="390" spans="2:104" ht="40.5" customHeight="1" x14ac:dyDescent="0.7">
      <c r="B390" s="484" t="s">
        <v>129</v>
      </c>
      <c r="C390" s="481"/>
      <c r="D390" s="481"/>
      <c r="E390" s="481"/>
      <c r="F390" s="481"/>
      <c r="G390" s="481"/>
      <c r="H390" s="481"/>
      <c r="I390" s="481"/>
      <c r="J390" s="481"/>
      <c r="K390" s="481"/>
      <c r="L390" s="481"/>
      <c r="M390" s="481"/>
      <c r="N390" s="481"/>
      <c r="O390" s="481"/>
      <c r="P390" s="481"/>
      <c r="Q390" s="481"/>
      <c r="R390" s="481"/>
      <c r="S390" s="482"/>
      <c r="U390" s="251"/>
      <c r="V390" s="251"/>
      <c r="W390" s="323"/>
      <c r="X390" s="323"/>
      <c r="Y390" s="323"/>
      <c r="Z390" s="323"/>
      <c r="AA390" s="323"/>
      <c r="AB390" s="323"/>
      <c r="AC390" s="323"/>
      <c r="AD390" s="323"/>
      <c r="AE390" s="323"/>
      <c r="AF390" s="323"/>
      <c r="AG390" s="323"/>
      <c r="AH390" s="323"/>
      <c r="AI390" s="323"/>
      <c r="AJ390" s="323" t="s">
        <v>746</v>
      </c>
      <c r="AK390" s="323" t="s">
        <v>747</v>
      </c>
      <c r="AL390" s="323"/>
      <c r="AM390" s="323"/>
      <c r="AN390" s="323"/>
      <c r="AO390" s="323"/>
      <c r="AP390" s="323"/>
      <c r="AQ390" s="323"/>
      <c r="AR390" s="323" t="str">
        <f>IFERROR(VLOOKUP(L388&amp;"_"&amp;L390,'LCA data'!$B$7:$X$200,19,FALSE)*C390,"")</f>
        <v/>
      </c>
      <c r="AS390" s="323" t="str">
        <f>IFERROR(VLOOKUP($L388&amp;"_"&amp;L390,'LCA data'!$B$7:$X$238,2,FALSE),"")</f>
        <v/>
      </c>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c r="BN390" s="323"/>
      <c r="BO390" s="323"/>
      <c r="BP390" s="323"/>
      <c r="BQ390" s="323"/>
      <c r="BR390" s="323"/>
      <c r="BS390" s="323"/>
      <c r="BT390" s="323"/>
      <c r="BU390" s="323"/>
      <c r="BV390" s="323"/>
      <c r="BW390" s="323"/>
      <c r="BX390" s="323"/>
      <c r="BY390" s="323"/>
      <c r="BZ390" s="323"/>
      <c r="CA390" s="323"/>
      <c r="CB390" s="323"/>
      <c r="CC390" s="323"/>
      <c r="CD390" s="323"/>
      <c r="CE390" s="323"/>
      <c r="CF390" s="323"/>
      <c r="CG390" s="323"/>
      <c r="CH390" s="323"/>
      <c r="CI390" s="323"/>
      <c r="CJ390" s="323"/>
      <c r="CK390" s="323"/>
      <c r="CL390" s="323"/>
      <c r="CM390" s="323"/>
      <c r="CN390" s="323"/>
      <c r="CO390" s="323"/>
      <c r="CP390" s="447"/>
      <c r="CQ390" s="448"/>
      <c r="CR390" s="323"/>
      <c r="CS390" s="323"/>
      <c r="CT390" s="323"/>
      <c r="CU390" s="323"/>
      <c r="CV390" s="323"/>
      <c r="CW390" s="323"/>
      <c r="CX390" s="323"/>
      <c r="CY390" s="323"/>
      <c r="CZ390" s="323"/>
    </row>
    <row r="391" spans="2:104" ht="13.4" customHeight="1" x14ac:dyDescent="0.65">
      <c r="B391" s="407"/>
      <c r="C391" s="373"/>
      <c r="D391" s="373"/>
      <c r="E391" s="373"/>
      <c r="F391" s="373"/>
      <c r="G391" s="373"/>
      <c r="H391" s="373"/>
      <c r="I391" s="373"/>
      <c r="J391" s="373"/>
      <c r="K391" s="373"/>
      <c r="L391" s="373"/>
      <c r="M391" s="373"/>
      <c r="S391" s="227"/>
      <c r="U391" s="251"/>
      <c r="V391" s="251"/>
      <c r="W391" s="323"/>
      <c r="X391" s="323"/>
      <c r="Y391" s="323"/>
      <c r="Z391" s="323"/>
      <c r="AA391" s="323"/>
      <c r="AB391" s="323"/>
      <c r="AC391" s="323"/>
      <c r="AD391" s="323"/>
      <c r="AE391" s="323"/>
      <c r="AF391" s="323"/>
      <c r="AG391" s="323"/>
      <c r="AH391" s="323"/>
      <c r="AI391" s="323" t="s">
        <v>338</v>
      </c>
      <c r="AJ391" s="323">
        <f t="shared" ref="AJ391:AK394" si="24">AJ401+AJ411+AJ421+AJ431+AJ441</f>
        <v>194664</v>
      </c>
      <c r="AK391" s="323">
        <f t="shared" si="24"/>
        <v>194664</v>
      </c>
      <c r="AL391" s="323"/>
      <c r="AM391" s="323"/>
      <c r="AN391" s="323"/>
      <c r="AO391" s="323"/>
      <c r="AP391" s="323"/>
      <c r="AQ391" s="323"/>
      <c r="AR391" s="323" t="str">
        <f>IFERROR(VLOOKUP(L389&amp;"_"&amp;L391,'LCA data'!$B$7:$X$200,19,FALSE)*C391,"")</f>
        <v/>
      </c>
      <c r="AS391" s="323" t="str">
        <f>IFERROR(VLOOKUP($L389&amp;"_"&amp;L391,'LCA data'!$B$7:$X$238,2,FALSE),"")</f>
        <v/>
      </c>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c r="BN391" s="323"/>
      <c r="BO391" s="323"/>
      <c r="BP391" s="323"/>
      <c r="BQ391" s="323"/>
      <c r="BR391" s="323"/>
      <c r="BS391" s="323"/>
      <c r="BT391" s="323"/>
      <c r="BU391" s="323"/>
      <c r="BV391" s="323"/>
      <c r="BW391" s="323"/>
      <c r="BX391" s="323"/>
      <c r="BY391" s="323"/>
      <c r="BZ391" s="323"/>
      <c r="CA391" s="323"/>
      <c r="CB391" s="323"/>
      <c r="CC391" s="323"/>
      <c r="CD391" s="323"/>
      <c r="CE391" s="323"/>
      <c r="CF391" s="323"/>
      <c r="CG391" s="323"/>
      <c r="CH391" s="323"/>
      <c r="CI391" s="323"/>
      <c r="CJ391" s="323"/>
      <c r="CK391" s="323"/>
      <c r="CL391" s="323"/>
      <c r="CM391" s="323"/>
      <c r="CN391" s="323"/>
      <c r="CO391" s="323"/>
      <c r="CP391" s="439"/>
      <c r="CQ391" s="440"/>
      <c r="CR391" s="323"/>
      <c r="CS391" s="323"/>
      <c r="CT391" s="323"/>
      <c r="CU391" s="323"/>
      <c r="CV391" s="323"/>
      <c r="CW391" s="323"/>
      <c r="CX391" s="323"/>
      <c r="CY391" s="323"/>
      <c r="CZ391" s="323"/>
    </row>
    <row r="392" spans="2:104" ht="25.4" customHeight="1" x14ac:dyDescent="0.35">
      <c r="B392" s="242"/>
      <c r="S392" s="227"/>
      <c r="U392" s="251"/>
      <c r="V392" s="251"/>
      <c r="W392" s="323"/>
      <c r="X392" s="323" t="s">
        <v>746</v>
      </c>
      <c r="Y392" s="323" t="s">
        <v>747</v>
      </c>
      <c r="Z392" s="323"/>
      <c r="AA392" s="323"/>
      <c r="AB392" s="323"/>
      <c r="AC392" s="323"/>
      <c r="AD392" s="323"/>
      <c r="AE392" s="323"/>
      <c r="AF392" s="323"/>
      <c r="AG392" s="323"/>
      <c r="AH392" s="323"/>
      <c r="AI392" s="323" t="str">
        <f>'LCA data'!$B$32</f>
        <v>Isolering</v>
      </c>
      <c r="AJ392" s="323">
        <f t="shared" si="24"/>
        <v>30037.5</v>
      </c>
      <c r="AK392" s="323">
        <f t="shared" si="24"/>
        <v>23561.142857142859</v>
      </c>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c r="BM392" s="323"/>
      <c r="BN392" s="323"/>
      <c r="BO392" s="323"/>
      <c r="BP392" s="323"/>
      <c r="BQ392" s="323"/>
      <c r="BR392" s="323"/>
      <c r="BS392" s="323"/>
      <c r="BT392" s="323"/>
      <c r="BU392" s="323"/>
      <c r="BV392" s="323"/>
      <c r="BW392" s="323"/>
      <c r="BX392" s="323"/>
      <c r="BY392" s="323"/>
      <c r="BZ392" s="323"/>
      <c r="CA392" s="323"/>
      <c r="CB392" s="323"/>
      <c r="CC392" s="323"/>
      <c r="CD392" s="323"/>
      <c r="CE392" s="323"/>
      <c r="CF392" s="323"/>
      <c r="CG392" s="323"/>
      <c r="CH392" s="323"/>
      <c r="CI392" s="323"/>
      <c r="CJ392" s="323"/>
      <c r="CK392" s="323"/>
      <c r="CL392" s="323"/>
      <c r="CM392" s="323"/>
      <c r="CN392" s="323"/>
      <c r="CO392" s="323"/>
      <c r="CP392" s="439"/>
      <c r="CQ392" s="440"/>
      <c r="CR392" s="323"/>
      <c r="CS392" s="323"/>
      <c r="CT392" s="323"/>
      <c r="CU392" s="323"/>
      <c r="CV392" s="323"/>
      <c r="CW392" s="323"/>
      <c r="CX392" s="323"/>
      <c r="CY392" s="323"/>
      <c r="CZ392" s="323"/>
    </row>
    <row r="393" spans="2:104" ht="25.4" customHeight="1" x14ac:dyDescent="0.35">
      <c r="B393" s="242"/>
      <c r="S393" s="227"/>
      <c r="U393" s="251"/>
      <c r="V393" s="251"/>
      <c r="W393" s="323" t="s">
        <v>743</v>
      </c>
      <c r="X393" s="323">
        <f>1000*$C$404</f>
        <v>200000</v>
      </c>
      <c r="Y393" s="323">
        <f>1000*$C$404</f>
        <v>200000</v>
      </c>
      <c r="Z393" s="323"/>
      <c r="AA393" s="323"/>
      <c r="AB393" s="323"/>
      <c r="AC393" s="323"/>
      <c r="AD393" s="323"/>
      <c r="AE393" s="323"/>
      <c r="AF393" s="323"/>
      <c r="AG393" s="323"/>
      <c r="AH393" s="323"/>
      <c r="AI393" s="323" t="s">
        <v>41</v>
      </c>
      <c r="AJ393" s="323">
        <f t="shared" si="24"/>
        <v>218284</v>
      </c>
      <c r="AK393" s="323">
        <f t="shared" si="24"/>
        <v>171960</v>
      </c>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c r="BM393" s="323"/>
      <c r="BN393" s="323"/>
      <c r="BO393" s="323"/>
      <c r="BP393" s="323"/>
      <c r="BQ393" s="323"/>
      <c r="BR393" s="323"/>
      <c r="BS393" s="323"/>
      <c r="BT393" s="323"/>
      <c r="BU393" s="323"/>
      <c r="BV393" s="323"/>
      <c r="BW393" s="323"/>
      <c r="BX393" s="323"/>
      <c r="BY393" s="323"/>
      <c r="BZ393" s="323"/>
      <c r="CA393" s="323"/>
      <c r="CB393" s="323"/>
      <c r="CC393" s="323"/>
      <c r="CD393" s="323"/>
      <c r="CE393" s="323"/>
      <c r="CF393" s="323"/>
      <c r="CG393" s="323"/>
      <c r="CH393" s="323"/>
      <c r="CI393" s="323"/>
      <c r="CJ393" s="323"/>
      <c r="CK393" s="323"/>
      <c r="CL393" s="323"/>
      <c r="CM393" s="323"/>
      <c r="CN393" s="323"/>
      <c r="CO393" s="323"/>
      <c r="CP393" s="439"/>
      <c r="CQ393" s="440"/>
      <c r="CR393" s="323"/>
      <c r="CS393" s="323"/>
      <c r="CT393" s="323"/>
      <c r="CU393" s="323"/>
      <c r="CV393" s="323"/>
      <c r="CW393" s="323"/>
      <c r="CX393" s="323"/>
      <c r="CY393" s="323"/>
      <c r="CZ393" s="323"/>
    </row>
    <row r="394" spans="2:104" ht="25.4" customHeight="1" x14ac:dyDescent="0.35">
      <c r="B394" s="242"/>
      <c r="S394" s="227"/>
      <c r="U394" s="251"/>
      <c r="V394" s="251"/>
      <c r="W394" s="323"/>
      <c r="X394" s="323"/>
      <c r="Y394" s="323"/>
      <c r="Z394" s="323"/>
      <c r="AA394" s="323"/>
      <c r="AB394" s="323"/>
      <c r="AC394" s="323"/>
      <c r="AD394" s="323"/>
      <c r="AE394" s="323"/>
      <c r="AF394" s="323"/>
      <c r="AG394" s="323"/>
      <c r="AH394" s="323"/>
      <c r="AI394" s="323" t="str">
        <f>'LCA data'!$B$105</f>
        <v>Loftsbeklædning</v>
      </c>
      <c r="AJ394" s="323">
        <f t="shared" si="24"/>
        <v>18988</v>
      </c>
      <c r="AK394" s="323">
        <f t="shared" si="24"/>
        <v>109033.99999999999</v>
      </c>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c r="BM394" s="323"/>
      <c r="BN394" s="323"/>
      <c r="BO394" s="323"/>
      <c r="BP394" s="323"/>
      <c r="BQ394" s="323"/>
      <c r="BR394" s="323"/>
      <c r="BS394" s="323"/>
      <c r="BT394" s="323"/>
      <c r="BU394" s="323"/>
      <c r="BV394" s="323"/>
      <c r="BW394" s="323"/>
      <c r="BX394" s="323"/>
      <c r="BY394" s="323"/>
      <c r="BZ394" s="323"/>
      <c r="CA394" s="323"/>
      <c r="CB394" s="323"/>
      <c r="CC394" s="323"/>
      <c r="CD394" s="323"/>
      <c r="CE394" s="323"/>
      <c r="CF394" s="323"/>
      <c r="CG394" s="323"/>
      <c r="CH394" s="323"/>
      <c r="CI394" s="323"/>
      <c r="CJ394" s="323"/>
      <c r="CK394" s="323"/>
      <c r="CL394" s="323"/>
      <c r="CM394" s="323"/>
      <c r="CN394" s="323"/>
      <c r="CO394" s="323"/>
      <c r="CP394" s="439"/>
      <c r="CQ394" s="440"/>
      <c r="CR394" s="323"/>
      <c r="CS394" s="323"/>
      <c r="CT394" s="323"/>
      <c r="CU394" s="323"/>
      <c r="CV394" s="323"/>
      <c r="CW394" s="323"/>
      <c r="CX394" s="323"/>
      <c r="CY394" s="323"/>
      <c r="CZ394" s="323"/>
    </row>
    <row r="395" spans="2:104" ht="25.4" customHeight="1" x14ac:dyDescent="0.35">
      <c r="B395" s="242"/>
      <c r="S395" s="227"/>
      <c r="U395" s="251"/>
      <c r="V395" s="251"/>
      <c r="W395" s="323"/>
      <c r="X395" s="323"/>
      <c r="Y395" s="323"/>
      <c r="Z395" s="323"/>
      <c r="AA395" s="323"/>
      <c r="AB395" s="323"/>
      <c r="AC395" s="323"/>
      <c r="AD395" s="323"/>
      <c r="AE395" s="323"/>
      <c r="AF395" s="323"/>
      <c r="AG395" s="323"/>
      <c r="AH395" s="323"/>
      <c r="AI395" s="323" t="s">
        <v>743</v>
      </c>
      <c r="AJ395" s="323">
        <f>SUM(AJ391:AJ394)</f>
        <v>461973.5</v>
      </c>
      <c r="AK395" s="323">
        <f>SUM(AK391:AK394)</f>
        <v>499219.14285714284</v>
      </c>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c r="BM395" s="323"/>
      <c r="BN395" s="323"/>
      <c r="BO395" s="323"/>
      <c r="BP395" s="323"/>
      <c r="BQ395" s="323"/>
      <c r="BR395" s="323"/>
      <c r="BS395" s="323"/>
      <c r="BT395" s="323"/>
      <c r="BU395" s="323"/>
      <c r="BV395" s="323"/>
      <c r="BW395" s="323"/>
      <c r="BX395" s="323"/>
      <c r="BY395" s="323"/>
      <c r="BZ395" s="323"/>
      <c r="CA395" s="323"/>
      <c r="CB395" s="323"/>
      <c r="CC395" s="323"/>
      <c r="CD395" s="323"/>
      <c r="CE395" s="323"/>
      <c r="CF395" s="323"/>
      <c r="CG395" s="323"/>
      <c r="CH395" s="323"/>
      <c r="CI395" s="323"/>
      <c r="CJ395" s="323"/>
      <c r="CK395" s="323"/>
      <c r="CL395" s="323"/>
      <c r="CM395" s="323"/>
      <c r="CN395" s="323"/>
      <c r="CO395" s="323"/>
      <c r="CP395" s="439"/>
      <c r="CQ395" s="440"/>
      <c r="CR395" s="323"/>
      <c r="CS395" s="323"/>
      <c r="CT395" s="323"/>
      <c r="CU395" s="323"/>
      <c r="CV395" s="323"/>
      <c r="CW395" s="323"/>
      <c r="CX395" s="323"/>
      <c r="CY395" s="323"/>
      <c r="CZ395" s="323"/>
    </row>
    <row r="396" spans="2:104" ht="25.4" customHeight="1" x14ac:dyDescent="0.35">
      <c r="B396" s="242"/>
      <c r="S396" s="227"/>
      <c r="U396" s="251"/>
      <c r="V396" s="251"/>
      <c r="W396" s="323"/>
      <c r="X396" s="323"/>
      <c r="Y396" s="323"/>
      <c r="Z396" s="323"/>
      <c r="AA396" s="323"/>
      <c r="AB396" s="323"/>
      <c r="AC396" s="323"/>
      <c r="AD396" s="323"/>
      <c r="AE396" s="323"/>
      <c r="AF396" s="323"/>
      <c r="AG396" s="323"/>
      <c r="AH396" s="323"/>
      <c r="AI396" s="323"/>
      <c r="AJ396" s="323"/>
      <c r="AK396" s="323"/>
      <c r="AL396" s="323"/>
      <c r="AM396" s="323"/>
      <c r="AN396" s="323" t="s">
        <v>864</v>
      </c>
      <c r="AO396" s="323" t="s">
        <v>4</v>
      </c>
      <c r="AP396" s="323">
        <f>AN402+AN412+AN422+AN432+AN442</f>
        <v>-2261.4444818304182</v>
      </c>
      <c r="AQ396" s="323"/>
      <c r="AR396" s="323" t="s">
        <v>866</v>
      </c>
      <c r="AS396" s="323" t="s">
        <v>4</v>
      </c>
      <c r="AT396" s="323">
        <f>AR402+AR412+AR422+AR432+AR442</f>
        <v>2770</v>
      </c>
      <c r="AU396" s="323"/>
      <c r="AV396" s="323"/>
      <c r="AW396" s="323"/>
      <c r="AX396" s="323"/>
      <c r="AY396" s="323"/>
      <c r="AZ396" s="323"/>
      <c r="BA396" s="323"/>
      <c r="BB396" s="323"/>
      <c r="BC396" s="323"/>
      <c r="BD396" s="323"/>
      <c r="BE396" s="323"/>
      <c r="BF396" s="323"/>
      <c r="BG396" s="323"/>
      <c r="BH396" s="323"/>
      <c r="BI396" s="323"/>
      <c r="BJ396" s="323"/>
      <c r="BK396" s="323"/>
      <c r="BL396" s="323"/>
      <c r="BM396" s="323"/>
      <c r="BN396" s="323"/>
      <c r="BO396" s="323"/>
      <c r="BP396" s="323"/>
      <c r="BQ396" s="323"/>
      <c r="BR396" s="323"/>
      <c r="BS396" s="323"/>
      <c r="BT396" s="323"/>
      <c r="BU396" s="323"/>
      <c r="BV396" s="323"/>
      <c r="BW396" s="323"/>
      <c r="BX396" s="323"/>
      <c r="BY396" s="323"/>
      <c r="BZ396" s="323"/>
      <c r="CA396" s="323"/>
      <c r="CB396" s="323"/>
      <c r="CC396" s="323"/>
      <c r="CD396" s="323"/>
      <c r="CE396" s="323"/>
      <c r="CF396" s="323"/>
      <c r="CG396" s="323"/>
      <c r="CH396" s="323"/>
      <c r="CI396" s="323"/>
      <c r="CJ396" s="323"/>
      <c r="CK396" s="323"/>
      <c r="CL396" s="323"/>
      <c r="CM396" s="323"/>
      <c r="CN396" s="323"/>
      <c r="CO396" s="323"/>
      <c r="CP396" s="439"/>
      <c r="CQ396" s="440"/>
      <c r="CR396" s="323"/>
      <c r="CS396" s="323"/>
      <c r="CT396" s="323"/>
      <c r="CU396" s="323"/>
      <c r="CV396" s="323"/>
      <c r="CW396" s="323"/>
      <c r="CX396" s="323"/>
      <c r="CY396" s="323"/>
      <c r="CZ396" s="323"/>
    </row>
    <row r="397" spans="2:104" ht="25.4" customHeight="1" x14ac:dyDescent="0.35">
      <c r="B397" s="242"/>
      <c r="S397" s="227"/>
      <c r="U397" s="251"/>
      <c r="V397" s="251"/>
      <c r="W397" s="323"/>
      <c r="X397" s="323"/>
      <c r="Y397" s="323"/>
      <c r="Z397" s="323"/>
      <c r="AA397" s="323"/>
      <c r="AB397" s="323"/>
      <c r="AC397" s="323"/>
      <c r="AD397" s="323"/>
      <c r="AE397" s="323"/>
      <c r="AF397" s="323"/>
      <c r="AG397" s="323"/>
      <c r="AH397" s="323"/>
      <c r="AI397" s="323"/>
      <c r="AJ397" s="323"/>
      <c r="AK397" s="323"/>
      <c r="AL397" s="323"/>
      <c r="AM397" s="323"/>
      <c r="AN397" s="323" t="s">
        <v>865</v>
      </c>
      <c r="AO397" s="323" t="s">
        <v>5</v>
      </c>
      <c r="AP397" s="323"/>
      <c r="AQ397" s="323">
        <f>AO402+AO412+AO422+AO432+AO442</f>
        <v>-8525.0496000000003</v>
      </c>
      <c r="AR397" s="323" t="s">
        <v>866</v>
      </c>
      <c r="AS397" s="323" t="s">
        <v>5</v>
      </c>
      <c r="AT397" s="323"/>
      <c r="AU397" s="323">
        <f>AS402+AS412+AS422+AS432+AS442</f>
        <v>12626</v>
      </c>
      <c r="AV397" s="323"/>
      <c r="AW397" s="323"/>
      <c r="AX397" s="323"/>
      <c r="AY397" s="323"/>
      <c r="AZ397" s="323"/>
      <c r="BA397" s="323"/>
      <c r="BB397" s="323"/>
      <c r="BC397" s="323"/>
      <c r="BD397" s="323"/>
      <c r="BE397" s="323"/>
      <c r="BF397" s="323"/>
      <c r="BG397" s="323"/>
      <c r="BH397" s="323"/>
      <c r="BI397" s="323"/>
      <c r="BJ397" s="323"/>
      <c r="BK397" s="323"/>
      <c r="BL397" s="323"/>
      <c r="BM397" s="323"/>
      <c r="BN397" s="323"/>
      <c r="BO397" s="323"/>
      <c r="BP397" s="323"/>
      <c r="BQ397" s="323"/>
      <c r="BR397" s="323"/>
      <c r="BS397" s="323"/>
      <c r="BT397" s="323"/>
      <c r="BU397" s="323"/>
      <c r="BV397" s="323"/>
      <c r="BW397" s="323"/>
      <c r="BX397" s="323"/>
      <c r="BY397" s="323"/>
      <c r="BZ397" s="323"/>
      <c r="CA397" s="323"/>
      <c r="CB397" s="323"/>
      <c r="CC397" s="323"/>
      <c r="CD397" s="323"/>
      <c r="CE397" s="323"/>
      <c r="CF397" s="323"/>
      <c r="CG397" s="323"/>
      <c r="CH397" s="323"/>
      <c r="CI397" s="323"/>
      <c r="CJ397" s="323"/>
      <c r="CK397" s="323"/>
      <c r="CL397" s="323"/>
      <c r="CM397" s="323"/>
      <c r="CN397" s="323"/>
      <c r="CO397" s="323"/>
      <c r="CP397" s="428"/>
      <c r="CQ397" s="441"/>
      <c r="CR397" s="323"/>
      <c r="CS397" s="323"/>
      <c r="CT397" s="323"/>
      <c r="CU397" s="323"/>
      <c r="CV397" s="323"/>
      <c r="CW397" s="323"/>
      <c r="CX397" s="323"/>
      <c r="CY397" s="323"/>
      <c r="CZ397" s="323"/>
    </row>
    <row r="398" spans="2:104" ht="53.15" customHeight="1" thickBot="1" x14ac:dyDescent="0.4">
      <c r="B398" s="408"/>
      <c r="C398" s="187"/>
      <c r="D398" s="187"/>
      <c r="E398" s="187"/>
      <c r="F398" s="187"/>
      <c r="G398" s="187"/>
      <c r="H398" s="187"/>
      <c r="I398" s="187"/>
      <c r="J398" s="187"/>
      <c r="K398" s="187"/>
      <c r="L398" s="187"/>
      <c r="M398" s="187"/>
      <c r="N398" s="187"/>
      <c r="O398" s="187"/>
      <c r="P398" s="187"/>
      <c r="Q398" s="187"/>
      <c r="R398" s="187"/>
      <c r="S398" s="387"/>
      <c r="U398" s="251"/>
      <c r="V398" s="251"/>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c r="BN398" s="323"/>
      <c r="BO398" s="323"/>
      <c r="BP398" s="323"/>
      <c r="BQ398" s="323"/>
      <c r="BR398" s="323"/>
      <c r="BS398" s="323"/>
      <c r="BT398" s="323"/>
      <c r="BU398" s="323"/>
      <c r="BV398" s="323"/>
      <c r="BW398" s="323"/>
      <c r="BX398" s="323"/>
      <c r="BY398" s="323"/>
      <c r="BZ398" s="323"/>
      <c r="CA398" s="323"/>
      <c r="CB398" s="323"/>
      <c r="CC398" s="323"/>
      <c r="CD398" s="323"/>
      <c r="CE398" s="323"/>
      <c r="CF398" s="323"/>
      <c r="CG398" s="323"/>
      <c r="CH398" s="323"/>
      <c r="CI398" s="323"/>
      <c r="CJ398" s="323"/>
      <c r="CK398" s="323"/>
      <c r="CL398" s="323"/>
      <c r="CM398" s="323"/>
      <c r="CN398" s="323"/>
      <c r="CO398" s="323"/>
      <c r="CP398" s="428"/>
      <c r="CQ398" s="441"/>
      <c r="CR398" s="323"/>
      <c r="CS398" s="323"/>
      <c r="CT398" s="323"/>
      <c r="CU398" s="323"/>
      <c r="CV398" s="323"/>
      <c r="CW398" s="323"/>
      <c r="CX398" s="323"/>
      <c r="CY398" s="323"/>
      <c r="CZ398" s="323"/>
    </row>
    <row r="399" spans="2:104" ht="13.4" customHeight="1" thickBot="1" x14ac:dyDescent="0.4">
      <c r="S399" s="217"/>
      <c r="U399" s="251"/>
      <c r="V399" s="251"/>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c r="BN399" s="323"/>
      <c r="BO399" s="323"/>
      <c r="BP399" s="323"/>
      <c r="BQ399" s="323"/>
      <c r="BR399" s="323"/>
      <c r="BS399" s="323"/>
      <c r="BT399" s="323"/>
      <c r="BU399" s="323"/>
      <c r="BV399" s="323"/>
      <c r="BW399" s="323"/>
      <c r="BX399" s="323"/>
      <c r="BY399" s="323"/>
      <c r="BZ399" s="323"/>
      <c r="CA399" s="323"/>
      <c r="CB399" s="323"/>
      <c r="CC399" s="323"/>
      <c r="CD399" s="323"/>
      <c r="CE399" s="323"/>
      <c r="CF399" s="323"/>
      <c r="CG399" s="323"/>
      <c r="CH399" s="323"/>
      <c r="CI399" s="323"/>
      <c r="CJ399" s="323"/>
      <c r="CK399" s="323"/>
      <c r="CL399" s="323"/>
      <c r="CM399" s="323"/>
      <c r="CN399" s="323"/>
      <c r="CO399" s="323"/>
      <c r="CP399" s="428"/>
      <c r="CQ399" s="441"/>
      <c r="CR399" s="323"/>
      <c r="CS399" s="323"/>
      <c r="CT399" s="323"/>
      <c r="CU399" s="323"/>
      <c r="CV399" s="323"/>
      <c r="CW399" s="323"/>
      <c r="CX399" s="323"/>
      <c r="CY399" s="323"/>
      <c r="CZ399" s="323"/>
    </row>
    <row r="400" spans="2:104" ht="29.25" customHeight="1" x14ac:dyDescent="0.7">
      <c r="B400" s="493" t="s">
        <v>112</v>
      </c>
      <c r="C400" s="499"/>
      <c r="D400" s="499"/>
      <c r="E400" s="506" t="s">
        <v>41</v>
      </c>
      <c r="F400" s="499"/>
      <c r="G400" s="499"/>
      <c r="H400" s="499"/>
      <c r="I400" s="500" t="str">
        <f>"Etagedæk"&amp;" "&amp;1</f>
        <v>Etagedæk 1</v>
      </c>
      <c r="J400" s="500"/>
      <c r="K400" s="499"/>
      <c r="L400" s="499"/>
      <c r="M400" s="499"/>
      <c r="N400" s="499"/>
      <c r="O400" s="499"/>
      <c r="P400" s="499"/>
      <c r="Q400" s="501"/>
      <c r="R400" s="409"/>
      <c r="S400" s="191"/>
      <c r="U400" s="251"/>
      <c r="V400" s="251"/>
      <c r="W400" s="323">
        <f>IF(E403=$C$72,1,0)</f>
        <v>0</v>
      </c>
      <c r="X400" s="323">
        <f>IF(J403=$C$72,1,0)</f>
        <v>0</v>
      </c>
      <c r="Y400" s="323"/>
      <c r="Z400" s="323"/>
      <c r="AA400" s="323"/>
      <c r="AB400" s="323"/>
      <c r="AC400" s="323"/>
      <c r="AD400" s="323"/>
      <c r="AE400" s="323"/>
      <c r="AF400" s="323"/>
      <c r="AG400" s="323"/>
      <c r="AH400" s="323"/>
      <c r="AI400" s="323"/>
      <c r="AJ400" s="323" t="s">
        <v>746</v>
      </c>
      <c r="AK400" s="323" t="s">
        <v>747</v>
      </c>
      <c r="AL400" s="323"/>
      <c r="AM400" s="323"/>
      <c r="AN400" s="323" t="s">
        <v>846</v>
      </c>
      <c r="AO400" s="323"/>
      <c r="AP400" s="323"/>
      <c r="AQ400" s="323"/>
      <c r="AR400" s="323" t="s">
        <v>851</v>
      </c>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c r="BN400" s="323"/>
      <c r="BO400" s="323"/>
      <c r="BP400" s="323"/>
      <c r="BQ400" s="323"/>
      <c r="BR400" s="323"/>
      <c r="BS400" s="323"/>
      <c r="BT400" s="323"/>
      <c r="BU400" s="323"/>
      <c r="BV400" s="323"/>
      <c r="BW400" s="323"/>
      <c r="BX400" s="323"/>
      <c r="BY400" s="323"/>
      <c r="BZ400" s="323"/>
      <c r="CA400" s="323"/>
      <c r="CB400" s="323"/>
      <c r="CC400" s="323"/>
      <c r="CD400" s="323"/>
      <c r="CE400" s="323"/>
      <c r="CF400" s="323"/>
      <c r="CG400" s="323"/>
      <c r="CH400" s="323"/>
      <c r="CI400" s="323"/>
      <c r="CJ400" s="323"/>
      <c r="CK400" s="323"/>
      <c r="CL400" s="323"/>
      <c r="CM400" s="323"/>
      <c r="CN400" s="323"/>
      <c r="CO400" s="323"/>
      <c r="CP400" s="428"/>
      <c r="CQ400" s="441"/>
      <c r="CR400" s="323"/>
      <c r="CS400" s="323"/>
      <c r="CT400" s="323"/>
      <c r="CU400" s="323"/>
      <c r="CV400" s="323"/>
      <c r="CW400" s="323"/>
      <c r="CX400" s="323"/>
      <c r="CY400" s="323"/>
      <c r="CZ400" s="323"/>
    </row>
    <row r="401" spans="2:222" ht="40.4" customHeight="1" x14ac:dyDescent="0.35">
      <c r="B401" s="359" t="s">
        <v>78</v>
      </c>
      <c r="C401" s="360"/>
      <c r="D401" s="910" t="str">
        <f>IF(E403=$C$72,"Scenarie 1: Din Opbygning","Scenarie 1: "&amp;X32)</f>
        <v>Scenarie 1: Tung Konventionel</v>
      </c>
      <c r="E401" s="911"/>
      <c r="F401" s="911"/>
      <c r="G401" s="911"/>
      <c r="H401" s="912"/>
      <c r="I401" s="885" t="str">
        <f>IF(J403=$C$72,"Scenarie 2: Din Opbygning","Scenarie 2: "&amp;Y32)</f>
        <v>Scenarie 2: Let Lav Emission</v>
      </c>
      <c r="J401" s="886"/>
      <c r="K401" s="886"/>
      <c r="L401" s="886"/>
      <c r="M401" s="887"/>
      <c r="N401" s="877" t="s">
        <v>79</v>
      </c>
      <c r="O401" s="877"/>
      <c r="P401" s="877"/>
      <c r="Q401" s="877"/>
      <c r="R401" s="192"/>
      <c r="S401" s="411"/>
      <c r="T401" s="175"/>
      <c r="U401" s="251"/>
      <c r="V401" s="251"/>
      <c r="W401" s="323"/>
      <c r="X401" s="323"/>
      <c r="Y401" s="323"/>
      <c r="Z401" s="323"/>
      <c r="AA401" s="323"/>
      <c r="AB401" s="323"/>
      <c r="AC401" s="323"/>
      <c r="AD401" s="323"/>
      <c r="AE401" s="323"/>
      <c r="AF401" s="323"/>
      <c r="AG401" s="323"/>
      <c r="AH401" s="323"/>
      <c r="AI401" s="323" t="s">
        <v>338</v>
      </c>
      <c r="AJ401" s="323">
        <f>VLOOKUP(E404,Pris.gulv.belægning[],2,0)*C404</f>
        <v>194664</v>
      </c>
      <c r="AK401" s="323">
        <f>VLOOKUP(J404,Pris.gulv.belægning[],2,0)*C404</f>
        <v>194664</v>
      </c>
      <c r="AL401" s="323"/>
      <c r="AM401" s="323"/>
      <c r="AN401" s="323" t="s">
        <v>4</v>
      </c>
      <c r="AO401" s="323" t="s">
        <v>5</v>
      </c>
      <c r="AP401" s="323"/>
      <c r="AQ401" s="323"/>
      <c r="AR401" s="323" t="s">
        <v>4</v>
      </c>
      <c r="AS401" s="323" t="s">
        <v>5</v>
      </c>
      <c r="AT401" s="323"/>
      <c r="AU401" s="323"/>
      <c r="AV401" s="323"/>
      <c r="AW401" s="323"/>
      <c r="AX401" s="323"/>
      <c r="AY401" s="323"/>
      <c r="AZ401" s="323"/>
      <c r="BA401" s="323"/>
      <c r="BB401" s="323"/>
      <c r="BC401" s="323"/>
      <c r="BD401" s="323"/>
      <c r="BE401" s="323"/>
      <c r="BF401" s="323"/>
      <c r="BG401" s="323"/>
      <c r="BH401" s="323"/>
      <c r="BI401" s="323"/>
      <c r="BJ401" s="323"/>
      <c r="BK401" s="323"/>
      <c r="BL401" s="323"/>
      <c r="BM401" s="323"/>
      <c r="BN401" s="323"/>
      <c r="BO401" s="323"/>
      <c r="BP401" s="323"/>
      <c r="BQ401" s="323"/>
      <c r="BR401" s="323"/>
      <c r="BS401" s="323"/>
      <c r="BT401" s="323"/>
      <c r="BU401" s="323"/>
      <c r="BV401" s="323"/>
      <c r="BW401" s="323"/>
      <c r="BX401" s="323"/>
      <c r="BY401" s="323"/>
      <c r="BZ401" s="323"/>
      <c r="CA401" s="323"/>
      <c r="CB401" s="323"/>
      <c r="CC401" s="323"/>
      <c r="CD401" s="323"/>
      <c r="CE401" s="323"/>
      <c r="CF401" s="323"/>
      <c r="CG401" s="323"/>
      <c r="CH401" s="323"/>
      <c r="CI401" s="323"/>
      <c r="CJ401" s="323"/>
      <c r="CK401" s="323"/>
      <c r="CL401" s="323"/>
      <c r="CM401" s="323"/>
      <c r="CN401" s="323"/>
      <c r="CO401" s="323"/>
      <c r="CP401" s="428"/>
      <c r="CQ401" s="441"/>
      <c r="CR401" s="323"/>
      <c r="CS401" s="323"/>
      <c r="CT401" s="323"/>
      <c r="CU401" s="323"/>
      <c r="CV401" s="323"/>
      <c r="CW401" s="323"/>
      <c r="CX401" s="323"/>
      <c r="CY401" s="323"/>
      <c r="CZ401" s="323"/>
    </row>
    <row r="402" spans="2:222" ht="47.15" customHeight="1" x14ac:dyDescent="0.35">
      <c r="B402" s="194"/>
      <c r="C402" s="195" t="s">
        <v>80</v>
      </c>
      <c r="D402" s="920" t="s">
        <v>81</v>
      </c>
      <c r="E402" s="921"/>
      <c r="F402" s="338" t="s">
        <v>82</v>
      </c>
      <c r="G402" s="338"/>
      <c r="H402" s="346" t="s">
        <v>84</v>
      </c>
      <c r="I402" s="891" t="s">
        <v>81</v>
      </c>
      <c r="J402" s="892"/>
      <c r="K402" s="479" t="s">
        <v>82</v>
      </c>
      <c r="L402" s="479"/>
      <c r="M402" s="508" t="s">
        <v>84</v>
      </c>
      <c r="N402" s="195" t="s">
        <v>4</v>
      </c>
      <c r="O402" s="195" t="s">
        <v>85</v>
      </c>
      <c r="P402" s="195" t="s">
        <v>5</v>
      </c>
      <c r="Q402" s="195" t="s">
        <v>86</v>
      </c>
      <c r="R402" s="192"/>
      <c r="S402" s="193"/>
      <c r="U402" s="251"/>
      <c r="V402" s="251"/>
      <c r="W402" s="323" t="s">
        <v>87</v>
      </c>
      <c r="X402" s="323" t="s">
        <v>88</v>
      </c>
      <c r="Y402" s="323"/>
      <c r="Z402" s="323"/>
      <c r="AA402" s="323" t="s">
        <v>91</v>
      </c>
      <c r="AB402" s="323"/>
      <c r="AC402" s="323"/>
      <c r="AD402" s="323"/>
      <c r="AE402" s="323" t="s">
        <v>92</v>
      </c>
      <c r="AF402" s="323"/>
      <c r="AG402" s="323"/>
      <c r="AH402" s="323"/>
      <c r="AI402" s="323" t="str">
        <f>'LCA data'!$B$32</f>
        <v>Isolering</v>
      </c>
      <c r="AJ402" s="323">
        <f>VLOOKUP(E405,Pris.isolering[],2,0)*F405*C405</f>
        <v>30037.5</v>
      </c>
      <c r="AK402" s="323">
        <f>VLOOKUP(J405,Pris.isolering[],2,0)*K405*C405</f>
        <v>23561.142857142859</v>
      </c>
      <c r="AL402" s="323"/>
      <c r="AM402" s="323"/>
      <c r="AN402" s="323">
        <f>SUM(AN404:AN408)</f>
        <v>-2261.4444818304182</v>
      </c>
      <c r="AO402" s="323">
        <f>SUM(AO404:AO408)</f>
        <v>-8525.0496000000003</v>
      </c>
      <c r="AP402" s="323"/>
      <c r="AQ402" s="323"/>
      <c r="AR402" s="323">
        <f>SUM(AR404:AR407)</f>
        <v>2770</v>
      </c>
      <c r="AS402" s="323">
        <f>SUM(AS404:AS407)</f>
        <v>12626</v>
      </c>
      <c r="AT402" s="323"/>
      <c r="AU402" s="323"/>
      <c r="AV402" s="323"/>
      <c r="AW402" s="323"/>
      <c r="AX402" s="323"/>
      <c r="AY402" s="323"/>
      <c r="AZ402" s="323"/>
      <c r="BA402" s="323"/>
      <c r="BB402" s="323"/>
      <c r="BC402" s="323"/>
      <c r="BD402" s="323"/>
      <c r="BE402" s="323"/>
      <c r="BF402" s="323"/>
      <c r="BG402" s="323"/>
      <c r="BH402" s="323"/>
      <c r="BI402" s="323"/>
      <c r="BJ402" s="323"/>
      <c r="BK402" s="323"/>
      <c r="BL402" s="323"/>
      <c r="BM402" s="323"/>
      <c r="BN402" s="323"/>
      <c r="BO402" s="323"/>
      <c r="BP402" s="323"/>
      <c r="BQ402" s="323"/>
      <c r="BR402" s="323"/>
      <c r="BS402" s="323"/>
      <c r="BT402" s="323"/>
      <c r="BU402" s="323"/>
      <c r="BV402" s="323"/>
      <c r="BW402" s="323"/>
      <c r="BX402" s="323"/>
      <c r="BY402" s="323"/>
      <c r="BZ402" s="323"/>
      <c r="CA402" s="323"/>
      <c r="CB402" s="323"/>
      <c r="CC402" s="323"/>
      <c r="CD402" s="323"/>
      <c r="CE402" s="323"/>
      <c r="CF402" s="323"/>
      <c r="CG402" s="323"/>
      <c r="CH402" s="323"/>
      <c r="CI402" s="323"/>
      <c r="CJ402" s="323"/>
      <c r="CK402" s="323"/>
      <c r="CL402" s="323"/>
      <c r="CM402" s="323"/>
      <c r="CN402" s="323"/>
      <c r="CO402" s="323"/>
      <c r="CP402" s="428"/>
      <c r="CQ402" s="441"/>
      <c r="CR402" s="323"/>
      <c r="CS402" s="323"/>
      <c r="CT402" s="323"/>
      <c r="CU402" s="323"/>
      <c r="CV402" s="323"/>
      <c r="CW402" s="323"/>
      <c r="CX402" s="323"/>
      <c r="CY402" s="323"/>
      <c r="CZ402" s="323"/>
    </row>
    <row r="403" spans="2:222" s="198" customFormat="1" ht="26" customHeight="1" x14ac:dyDescent="0.35">
      <c r="B403" s="199"/>
      <c r="C403" s="200" t="s">
        <v>93</v>
      </c>
      <c r="D403" s="361" t="s">
        <v>828</v>
      </c>
      <c r="E403" s="362" t="str">
        <f>$C$33</f>
        <v>Benyt Standard</v>
      </c>
      <c r="F403" s="347" t="s">
        <v>94</v>
      </c>
      <c r="G403" s="348"/>
      <c r="H403" s="349" t="s">
        <v>96</v>
      </c>
      <c r="I403" s="480" t="s">
        <v>828</v>
      </c>
      <c r="J403" s="362" t="str">
        <f>$E$33</f>
        <v>Benyt Standard</v>
      </c>
      <c r="K403" s="510" t="s">
        <v>94</v>
      </c>
      <c r="L403" s="511"/>
      <c r="M403" s="512" t="s">
        <v>96</v>
      </c>
      <c r="N403" s="201" t="s">
        <v>97</v>
      </c>
      <c r="O403" s="201" t="s">
        <v>97</v>
      </c>
      <c r="P403" s="201" t="s">
        <v>97</v>
      </c>
      <c r="Q403" s="201" t="s">
        <v>97</v>
      </c>
      <c r="R403" s="192"/>
      <c r="S403" s="196"/>
      <c r="T403" s="204"/>
      <c r="U403" s="325"/>
      <c r="V403" s="325"/>
      <c r="W403" s="323">
        <f>SUM(W404:W408)</f>
        <v>17309.303394859486</v>
      </c>
      <c r="X403" s="323">
        <f>SUM(X404:X408)</f>
        <v>3772.4106017000013</v>
      </c>
      <c r="Y403" s="323"/>
      <c r="Z403" s="323"/>
      <c r="AA403" s="323"/>
      <c r="AB403" s="323" t="s">
        <v>111</v>
      </c>
      <c r="AC403" s="323"/>
      <c r="AD403" s="323" t="s">
        <v>99</v>
      </c>
      <c r="AE403" s="323" t="s">
        <v>100</v>
      </c>
      <c r="AF403" s="323"/>
      <c r="AG403" s="323"/>
      <c r="AH403" s="323"/>
      <c r="AI403" s="323" t="s">
        <v>41</v>
      </c>
      <c r="AJ403" s="323">
        <f>VLOOKUP(E406,Pris.Etagedæk[],2,0)*C406</f>
        <v>218284</v>
      </c>
      <c r="AK403" s="323">
        <f>VLOOKUP(J406,Pris.Etagedæk[],2,0)*C406</f>
        <v>171960</v>
      </c>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c r="BM403" s="323"/>
      <c r="BN403" s="323"/>
      <c r="BO403" s="323"/>
      <c r="BP403" s="323"/>
      <c r="BQ403" s="323"/>
      <c r="BR403" s="323"/>
      <c r="BS403" s="323"/>
      <c r="BT403" s="323"/>
      <c r="BU403" s="323"/>
      <c r="BV403" s="323"/>
      <c r="BW403" s="323"/>
      <c r="BX403" s="323"/>
      <c r="BY403" s="323"/>
      <c r="BZ403" s="323"/>
      <c r="CA403" s="323"/>
      <c r="CB403" s="323"/>
      <c r="CC403" s="323"/>
      <c r="CD403" s="323"/>
      <c r="CE403" s="323"/>
      <c r="CF403" s="323"/>
      <c r="CG403" s="323"/>
      <c r="CH403" s="323"/>
      <c r="CI403" s="323"/>
      <c r="CJ403" s="323"/>
      <c r="CK403" s="323"/>
      <c r="CL403" s="323"/>
      <c r="CM403" s="323"/>
      <c r="CN403" s="323"/>
      <c r="CO403" s="323"/>
      <c r="CP403" s="428"/>
      <c r="CQ403" s="441"/>
      <c r="CR403" s="323"/>
      <c r="CS403" s="323"/>
      <c r="CT403" s="323"/>
      <c r="CU403" s="323"/>
      <c r="CV403" s="323"/>
      <c r="CW403" s="323"/>
      <c r="CX403" s="323"/>
      <c r="CY403" s="323"/>
      <c r="CZ403" s="323"/>
      <c r="DA403" s="325"/>
      <c r="DB403" s="325"/>
      <c r="DC403" s="325"/>
      <c r="DD403" s="325"/>
      <c r="DE403" s="325"/>
      <c r="DF403" s="325"/>
      <c r="DG403" s="325"/>
      <c r="DH403" s="325"/>
      <c r="DI403" s="325"/>
      <c r="DJ403" s="325"/>
      <c r="DK403" s="325"/>
      <c r="DL403" s="325"/>
      <c r="DM403" s="325"/>
      <c r="DN403" s="325"/>
      <c r="DO403" s="325"/>
      <c r="DP403" s="325"/>
      <c r="DQ403" s="325"/>
      <c r="DR403" s="325"/>
      <c r="DS403" s="325"/>
      <c r="DT403" s="325"/>
      <c r="DU403" s="325"/>
      <c r="DV403" s="325"/>
      <c r="DW403" s="325"/>
      <c r="DX403" s="325"/>
      <c r="DY403" s="325"/>
      <c r="DZ403" s="325"/>
      <c r="EA403" s="325"/>
      <c r="EB403" s="325"/>
      <c r="EC403" s="325"/>
      <c r="ED403" s="325"/>
      <c r="EE403" s="325"/>
      <c r="EF403" s="325"/>
      <c r="EG403" s="325"/>
      <c r="EH403" s="325"/>
      <c r="EI403" s="325"/>
      <c r="EJ403" s="325"/>
      <c r="EK403" s="325"/>
      <c r="EL403" s="325"/>
      <c r="EM403" s="325"/>
      <c r="EN403" s="325"/>
      <c r="EO403" s="325"/>
      <c r="EP403" s="325"/>
      <c r="EQ403" s="325"/>
      <c r="ER403" s="325"/>
      <c r="ES403" s="325"/>
      <c r="ET403" s="325"/>
      <c r="EU403" s="325"/>
      <c r="EV403" s="325"/>
      <c r="EW403" s="325"/>
      <c r="EX403" s="325"/>
      <c r="EY403" s="325"/>
      <c r="EZ403" s="325"/>
      <c r="FA403" s="325"/>
      <c r="FB403" s="325"/>
      <c r="FC403" s="325"/>
      <c r="FD403" s="325"/>
      <c r="FE403" s="325"/>
      <c r="FF403" s="325"/>
      <c r="FG403" s="325"/>
      <c r="FH403" s="325"/>
      <c r="FI403" s="325"/>
      <c r="FJ403" s="325"/>
      <c r="FK403" s="325"/>
      <c r="FL403" s="325"/>
      <c r="FM403" s="325"/>
      <c r="FN403" s="325"/>
      <c r="FO403" s="325"/>
      <c r="FP403" s="325"/>
      <c r="FQ403" s="325"/>
      <c r="FR403" s="325"/>
      <c r="FS403" s="325"/>
      <c r="FT403" s="325"/>
      <c r="FU403" s="325"/>
      <c r="FV403" s="325"/>
      <c r="FW403" s="325"/>
      <c r="FX403" s="325"/>
      <c r="FY403" s="325"/>
      <c r="FZ403" s="325"/>
      <c r="GA403" s="325"/>
      <c r="GB403" s="325"/>
      <c r="GC403" s="325"/>
      <c r="GD403" s="325"/>
      <c r="GE403" s="325"/>
      <c r="GF403" s="325"/>
      <c r="GG403" s="325"/>
      <c r="GH403" s="325"/>
      <c r="GI403" s="325"/>
      <c r="GJ403" s="325"/>
      <c r="GK403" s="325"/>
      <c r="GL403" s="325"/>
      <c r="GM403" s="325"/>
      <c r="GN403" s="325"/>
      <c r="GO403" s="325"/>
      <c r="GP403" s="325"/>
      <c r="GQ403" s="325"/>
      <c r="GR403" s="325"/>
      <c r="GS403" s="325"/>
      <c r="GT403" s="325"/>
      <c r="GU403" s="325"/>
      <c r="GV403" s="325"/>
      <c r="GW403" s="325"/>
      <c r="GX403" s="325"/>
      <c r="GY403" s="325"/>
      <c r="GZ403" s="325"/>
      <c r="HA403" s="325"/>
      <c r="HB403" s="325"/>
      <c r="HC403" s="325"/>
      <c r="HD403" s="325"/>
      <c r="HE403" s="325"/>
      <c r="HF403" s="325"/>
      <c r="HG403" s="325"/>
      <c r="HH403" s="325"/>
      <c r="HI403" s="325"/>
      <c r="HJ403" s="325"/>
      <c r="HK403" s="325"/>
      <c r="HL403" s="325"/>
      <c r="HM403" s="325"/>
      <c r="HN403" s="325"/>
    </row>
    <row r="404" spans="2:222" ht="40.4" customHeight="1" x14ac:dyDescent="0.35">
      <c r="B404" s="363" t="str">
        <f>B202</f>
        <v>Gulvoverflade</v>
      </c>
      <c r="C404" s="465">
        <f>IF($C$45-C414-C424-C434-C444&lt;0,0,$C$45-C414-C424-C434-C444)</f>
        <v>200</v>
      </c>
      <c r="D404" s="15" t="s">
        <v>103</v>
      </c>
      <c r="E404" s="342" t="str">
        <f>IF($E$403=$C$72,D404,VLOOKUP(B404,Auto_Etagedæk[],VLOOKUP($X$32,Type_Tung_Middel_Let[],2,0),0))</f>
        <v xml:space="preserve">Trægulv på strøer </v>
      </c>
      <c r="F404" s="356">
        <f>(VLOOKUP(E404,Pris.gulv.belægning[],4,0))/1000</f>
        <v>2.1999999999999999E-2</v>
      </c>
      <c r="G404" s="350"/>
      <c r="H404" s="351">
        <f>IFERROR(IF(VLOOKUP(B404&amp;"_"&amp;E404,'LCA data'!$B$7:$X$200,2,FALSE)&lt;$Y$24,1,0)+IF(VLOOKUP(B404&amp;"_"&amp;E404,'LCA data'!$B$7:$X$200,2,FALSE)*2&lt;$Y$24,1,0),"")</f>
        <v>0</v>
      </c>
      <c r="I404" s="15" t="s">
        <v>103</v>
      </c>
      <c r="J404" s="342" t="str">
        <f>IF($J$403=$C$72,I404,VLOOKUP(B404,Auto_Etagedæk[],VLOOKUP($Y$32,Type_Tung_Middel_Let[],2,0),0))</f>
        <v xml:space="preserve">Trægulv på strøer </v>
      </c>
      <c r="K404" s="513">
        <f>(VLOOKUP(J404,Pris.gulv.belægning[],4,0))/1000</f>
        <v>2.1999999999999999E-2</v>
      </c>
      <c r="L404" s="514"/>
      <c r="M404" s="515">
        <f>IFERROR(IF(VLOOKUP(B404&amp;"_"&amp;J404,'LCA data'!$B$7:$X$200,2,FALSE)&lt;$Y$24,1,0)+IF(VLOOKUP(B404&amp;"_"&amp;J404,'LCA data'!$B$7:$X$200,2,FALSE)*2&lt;$Y$24,1,0),"")</f>
        <v>0</v>
      </c>
      <c r="N404" s="364">
        <f>W404/1000</f>
        <v>1.298724781</v>
      </c>
      <c r="O404" s="880">
        <f>SUM(N404:N408)</f>
        <v>17.309303394859487</v>
      </c>
      <c r="P404" s="365">
        <f>X404/1000</f>
        <v>1.298724781</v>
      </c>
      <c r="Q404" s="880">
        <f>SUM(P404:P408)</f>
        <v>3.7724106017000016</v>
      </c>
      <c r="R404" s="202"/>
      <c r="S404" s="203"/>
      <c r="U404" s="251"/>
      <c r="V404" s="251"/>
      <c r="W404" s="323">
        <f>IF(E404="Angiv ikke",0,((1+H404)*VLOOKUP(B404&amp;"_"&amp;E404,'LCA data'!$B$7:$X$360,19,FALSE)*(F404*10^3)*C404))</f>
        <v>1298.7247809999999</v>
      </c>
      <c r="X404" s="323">
        <f>IF(J404="Angiv ikke",0,((1+M404)*VLOOKUP(B404&amp;"_"&amp;J404,'LCA data'!$B$7:$X$360,19,FALSE)*(K404*10^3)*C404))</f>
        <v>1298.7247809999999</v>
      </c>
      <c r="Y404" s="323"/>
      <c r="Z404" s="323"/>
      <c r="AA404" s="323" t="s">
        <v>4</v>
      </c>
      <c r="AB404" s="323">
        <f>AF404/$J$21/$Y$24*1000</f>
        <v>0.86546516974297438</v>
      </c>
      <c r="AC404" s="323"/>
      <c r="AD404" s="323">
        <f>AB404+AC404</f>
        <v>0.86546516974297438</v>
      </c>
      <c r="AE404" s="323" t="s">
        <v>4</v>
      </c>
      <c r="AF404" s="323">
        <f>W403/1000</f>
        <v>17.309303394859487</v>
      </c>
      <c r="AG404" s="323"/>
      <c r="AH404" s="323"/>
      <c r="AI404" s="323" t="str">
        <f>'LCA data'!$B$105</f>
        <v>Loftsbeklædning</v>
      </c>
      <c r="AJ404" s="323">
        <f>VLOOKUP(E407,Pris.loft.beklædning[],2,0)*C407</f>
        <v>18988</v>
      </c>
      <c r="AK404" s="323">
        <f>VLOOKUP(J407,Pris.loft.beklædning[],2,0)*C407</f>
        <v>109033.99999999999</v>
      </c>
      <c r="AL404" s="323"/>
      <c r="AM404" s="323"/>
      <c r="AN404" s="323">
        <f>IF(E404="Angiv ikke",0,((1+H404)*VLOOKUP(B404&amp;"_"&amp;E404,'LCA data'!$B$7:$X$360,20,FALSE)*(F404*10^3)*C404))</f>
        <v>-1434.8496</v>
      </c>
      <c r="AO404" s="323">
        <f>IF(J404="Angiv ikke",0,((1+M404)*VLOOKUP(B404&amp;"_"&amp;J404,'LCA data'!$B$7:$X$360,20,FALSE)*(K404*10^3)*C404))</f>
        <v>-1434.8496</v>
      </c>
      <c r="AP404" s="323"/>
      <c r="AQ404" s="323"/>
      <c r="AR404" s="323">
        <f>IF(E404="Angiv ikke",0,((1+H404)*VLOOKUP(B404&amp;"_"&amp;E404,'LCA data'!$B$7:$AA$360,26,FALSE)*(F404*10^3)*C404))</f>
        <v>2770</v>
      </c>
      <c r="AS404" s="323">
        <f>IF(J404="Angiv ikke",0,((1+M404)*VLOOKUP(B404&amp;"_"&amp;J404,'LCA data'!$B$7:$AA$360,26,FALSE)*(K404*10^3)*C404))</f>
        <v>2770</v>
      </c>
      <c r="AT404" s="323"/>
      <c r="AU404" s="323"/>
      <c r="AV404" s="323"/>
      <c r="AW404" s="323"/>
      <c r="AX404" s="323"/>
      <c r="AY404" s="323"/>
      <c r="AZ404" s="323"/>
      <c r="BA404" s="323"/>
      <c r="BB404" s="323"/>
      <c r="BC404" s="323"/>
      <c r="BD404" s="323"/>
      <c r="BE404" s="323"/>
      <c r="BF404" s="323"/>
      <c r="BG404" s="323"/>
      <c r="BH404" s="323"/>
      <c r="BI404" s="323"/>
      <c r="BJ404" s="323"/>
      <c r="BK404" s="323"/>
      <c r="BL404" s="323"/>
      <c r="BM404" s="323"/>
      <c r="BN404" s="323"/>
      <c r="BO404" s="323"/>
      <c r="BP404" s="323"/>
      <c r="BQ404" s="323"/>
      <c r="BR404" s="323"/>
      <c r="BS404" s="323"/>
      <c r="BT404" s="323"/>
      <c r="BU404" s="323"/>
      <c r="BV404" s="323"/>
      <c r="BW404" s="323"/>
      <c r="BX404" s="323"/>
      <c r="BY404" s="323"/>
      <c r="BZ404" s="323"/>
      <c r="CA404" s="323"/>
      <c r="CB404" s="323"/>
      <c r="CC404" s="323"/>
      <c r="CD404" s="323"/>
      <c r="CE404" s="323"/>
      <c r="CF404" s="323"/>
      <c r="CG404" s="323"/>
      <c r="CH404" s="323"/>
      <c r="CI404" s="323"/>
      <c r="CJ404" s="323"/>
      <c r="CK404" s="323"/>
      <c r="CL404" s="323"/>
      <c r="CM404" s="323"/>
      <c r="CN404" s="323"/>
      <c r="CO404" s="323"/>
      <c r="CP404" s="428"/>
      <c r="CQ404" s="441"/>
      <c r="CR404" s="323"/>
      <c r="CS404" s="323"/>
      <c r="CT404" s="323"/>
      <c r="CU404" s="323"/>
      <c r="CV404" s="323"/>
      <c r="CW404" s="323"/>
      <c r="CX404" s="323"/>
      <c r="CY404" s="323"/>
      <c r="CZ404" s="323"/>
    </row>
    <row r="405" spans="2:222" ht="40.4" customHeight="1" x14ac:dyDescent="0.35">
      <c r="B405" s="208" t="str">
        <f>'LCA data'!$B$32</f>
        <v>Isolering</v>
      </c>
      <c r="C405" s="465">
        <f>IF($C$45-C415-C425-C435-C445&lt;0,0,$C$45-C415-C425-C435-C445)</f>
        <v>200</v>
      </c>
      <c r="D405" s="168" t="s">
        <v>103</v>
      </c>
      <c r="E405" s="342" t="str">
        <f>IF($E$403=$C$72,D405,VLOOKUP(B405,Auto_Etagedæk[],VLOOKUP($X$32,Type_Tung_Middel_Let[],2,0),0))</f>
        <v>Mineraluld</v>
      </c>
      <c r="F405" s="11">
        <v>0.15</v>
      </c>
      <c r="G405" s="353"/>
      <c r="H405" s="351">
        <f>IFERROR(IF(VLOOKUP(B405&amp;"_"&amp;E405,'LCA data'!$B$7:$X$200,2,FALSE)&lt;$Y$24,1,0)+IF(VLOOKUP(B405&amp;"_"&amp;E405,'LCA data'!$B$7:$X$200,2,FALSE)*2&lt;$Y$24,1,0),"")</f>
        <v>0</v>
      </c>
      <c r="I405" s="168" t="s">
        <v>103</v>
      </c>
      <c r="J405" s="342" t="str">
        <f>IF($J$403=$C$72,I405,VLOOKUP(B405,Auto_Etagedæk[],VLOOKUP($Y$32,Type_Tung_Middel_Let[],2,0),0))</f>
        <v>Papiruld</v>
      </c>
      <c r="K405" s="11">
        <v>0.15</v>
      </c>
      <c r="L405" s="528"/>
      <c r="M405" s="515">
        <f>IFERROR(IF(VLOOKUP(B405&amp;"_"&amp;J405,'LCA data'!$B$7:$X$200,2,FALSE)&lt;$Y$24,1,0)+IF(VLOOKUP(B405&amp;"_"&amp;J405,'LCA data'!$B$7:$X$200,2,FALSE)*2&lt;$Y$24,1,0),"")</f>
        <v>0</v>
      </c>
      <c r="N405" s="206">
        <f>W405/1000</f>
        <v>1.2426299999999999</v>
      </c>
      <c r="O405" s="878"/>
      <c r="P405" s="207">
        <f>X405/1000</f>
        <v>0.77127900000000016</v>
      </c>
      <c r="Q405" s="878"/>
      <c r="R405" s="192"/>
      <c r="S405" s="196"/>
      <c r="U405" s="251"/>
      <c r="V405" s="251"/>
      <c r="W405" s="323">
        <f>IF(E405="Angiv ikke",0,((1+H405)*VLOOKUP(B405&amp;"_"&amp;E405,'LCA data'!$B$7:$X$360,19,FALSE)*(F405*10^3)*C405))</f>
        <v>1242.6299999999999</v>
      </c>
      <c r="X405" s="323">
        <f>IF(J405="Angiv ikke",0,((1+M405)*VLOOKUP(B405&amp;"_"&amp;J405,'LCA data'!$B$7:$X$360,19,FALSE)*(K405*10^3)*C405))</f>
        <v>771.27900000000011</v>
      </c>
      <c r="Y405" s="323"/>
      <c r="Z405" s="323"/>
      <c r="AA405" s="323" t="s">
        <v>5</v>
      </c>
      <c r="AB405" s="323">
        <f>AG405/$J$21/$Y$24*1000</f>
        <v>0.18862053008500007</v>
      </c>
      <c r="AC405" s="323"/>
      <c r="AD405" s="323">
        <f>AB405+AC405</f>
        <v>0.18862053008500007</v>
      </c>
      <c r="AE405" s="323" t="s">
        <v>5</v>
      </c>
      <c r="AF405" s="323"/>
      <c r="AG405" s="323">
        <f>X403/1000</f>
        <v>3.7724106017000012</v>
      </c>
      <c r="AH405" s="323"/>
      <c r="AI405" s="323" t="s">
        <v>743</v>
      </c>
      <c r="AJ405" s="323">
        <f>SUM(AJ401:AJ404)</f>
        <v>461973.5</v>
      </c>
      <c r="AK405" s="323">
        <f>SUM(AK401:AK404)</f>
        <v>499219.14285714284</v>
      </c>
      <c r="AL405" s="323"/>
      <c r="AM405" s="323"/>
      <c r="AN405" s="323">
        <f>IF(E405="Angiv ikke",0,((1+H405)*VLOOKUP(B405&amp;"_"&amp;E405,'LCA data'!$B$7:$X$360,20,FALSE)*(F405*10^3)*C405))</f>
        <v>0</v>
      </c>
      <c r="AO405" s="323">
        <f>IF(J405="Angiv ikke",0,((1+M405)*VLOOKUP(B405&amp;"_"&amp;J405,'LCA data'!$B$7:$X$360,20,FALSE)*(K405*10^3)*C405))</f>
        <v>-915.19999999999993</v>
      </c>
      <c r="AP405" s="323"/>
      <c r="AQ405" s="323"/>
      <c r="AR405" s="323">
        <f>IF(E405="Angiv ikke",0,((1+H405)*VLOOKUP(B405&amp;"_"&amp;E405,'LCA data'!$B$7:$AA$360,26,FALSE)*(F405*10^3)*C405))</f>
        <v>0</v>
      </c>
      <c r="AS405" s="323">
        <f>IF(J405="Angiv ikke",0,((1+M405)*VLOOKUP(B405&amp;"_"&amp;J405,'LCA data'!$B$7:$AA$360,26,FALSE)*(K405*10^3)*C405))</f>
        <v>1350</v>
      </c>
      <c r="AT405" s="323"/>
      <c r="AU405" s="323"/>
      <c r="AV405" s="323"/>
      <c r="AW405" s="323"/>
      <c r="AX405" s="323"/>
      <c r="AY405" s="323"/>
      <c r="AZ405" s="323"/>
      <c r="BA405" s="323"/>
      <c r="BB405" s="323"/>
      <c r="BC405" s="323"/>
      <c r="BD405" s="323"/>
      <c r="BE405" s="323"/>
      <c r="BF405" s="323"/>
      <c r="BG405" s="323"/>
      <c r="BH405" s="323"/>
      <c r="BI405" s="323"/>
      <c r="BJ405" s="323"/>
      <c r="BK405" s="323"/>
      <c r="BL405" s="323"/>
      <c r="BM405" s="323"/>
      <c r="BN405" s="323"/>
      <c r="BO405" s="323"/>
      <c r="BP405" s="323"/>
      <c r="BQ405" s="323"/>
      <c r="BR405" s="323"/>
      <c r="BS405" s="323"/>
      <c r="BT405" s="323"/>
      <c r="BU405" s="323"/>
      <c r="BV405" s="323"/>
      <c r="BW405" s="323"/>
      <c r="BX405" s="323"/>
      <c r="BY405" s="323"/>
      <c r="BZ405" s="323"/>
      <c r="CA405" s="323"/>
      <c r="CB405" s="323"/>
      <c r="CC405" s="323"/>
      <c r="CD405" s="323"/>
      <c r="CE405" s="323"/>
      <c r="CF405" s="323"/>
      <c r="CG405" s="323"/>
      <c r="CH405" s="323"/>
      <c r="CI405" s="323"/>
      <c r="CJ405" s="323"/>
      <c r="CK405" s="323"/>
      <c r="CL405" s="323"/>
      <c r="CM405" s="323"/>
      <c r="CN405" s="323"/>
      <c r="CO405" s="323"/>
      <c r="CP405" s="428"/>
      <c r="CQ405" s="441"/>
      <c r="CR405" s="323"/>
      <c r="CS405" s="323"/>
      <c r="CT405" s="323"/>
      <c r="CU405" s="323"/>
      <c r="CV405" s="323"/>
      <c r="CW405" s="323"/>
      <c r="CX405" s="323"/>
      <c r="CY405" s="323"/>
      <c r="CZ405" s="323"/>
    </row>
    <row r="406" spans="2:222" ht="40.4" customHeight="1" x14ac:dyDescent="0.35">
      <c r="B406" s="205" t="str">
        <f>'LCA data'!$B$138</f>
        <v>Etagedæk</v>
      </c>
      <c r="C406" s="465">
        <f>IF($C$45-C416-C426-C436-C446&lt;0,0,$C$45-C416-C426-C436-C446)</f>
        <v>200</v>
      </c>
      <c r="D406" s="169" t="s">
        <v>103</v>
      </c>
      <c r="E406" s="342" t="str">
        <f>IF($E$403=$C$72,D406,VLOOKUP(B406,Auto_Etagedæk[],VLOOKUP($X$32,Type_Tung_Middel_Let[],2,0),0))</f>
        <v>Betonelement C45/55</v>
      </c>
      <c r="F406" s="350">
        <f>VLOOKUP(E406,Pris.Etagedæk[],4,0)/1000</f>
        <v>0.22</v>
      </c>
      <c r="G406" s="350"/>
      <c r="H406" s="351">
        <f>IFERROR(IF(VLOOKUP(B406&amp;"_"&amp;E406,'LCA data'!$B$7:$X$360,2,FALSE)&lt;$Y$24,1,0)+IF(VLOOKUP(B406&amp;"_"&amp;E406,'LCA data'!$B$7:$X$360,2,FALSE)*2&lt;$Y$24,1,0),"")</f>
        <v>0</v>
      </c>
      <c r="I406" s="169" t="s">
        <v>103</v>
      </c>
      <c r="J406" s="342" t="str">
        <f>IF($J$403=$C$72,I406,VLOOKUP(B406,Auto_Etagedæk[],VLOOKUP($Y$32,Type_Tung_Middel_Let[],2,0),0))</f>
        <v>Træ bjælker</v>
      </c>
      <c r="K406" s="514">
        <f>VLOOKUP(J406,Pris.Etagedæk[],4,0)/1000</f>
        <v>0.34</v>
      </c>
      <c r="L406" s="514"/>
      <c r="M406" s="515">
        <f>IFERROR(IF(VLOOKUP(B406&amp;"_"&amp;J406,'LCA data'!$B$7:$X$360,2,FALSE)&lt;$Y$24,1,0)+IF(VLOOKUP(B406&amp;"_"&amp;J406,'LCA data'!$B$7:$X$360,2,FALSE)*2&lt;$Y$24,1,0),"")</f>
        <v>0</v>
      </c>
      <c r="N406" s="206">
        <f>W406/1000</f>
        <v>13.607948613859486</v>
      </c>
      <c r="O406" s="878"/>
      <c r="P406" s="207">
        <f>X406/1000</f>
        <v>0.99840682070000097</v>
      </c>
      <c r="Q406" s="878"/>
      <c r="R406" s="192"/>
      <c r="S406" s="196"/>
      <c r="U406" s="251"/>
      <c r="V406" s="251"/>
      <c r="W406" s="323">
        <f>IF(E406="Angiv ikke",0,((1+H406)*VLOOKUP(B406&amp;"_"&amp;E406,'LCA data'!$B$7:$X$360,19,FALSE)*(F406*10^3)*C406))</f>
        <v>13607.948613859486</v>
      </c>
      <c r="X406" s="323">
        <f>IF(J406="Angiv ikke",0,((1+M406)*VLOOKUP(B406&amp;"_"&amp;J406,'LCA data'!$B$7:$X$360,19,FALSE)*(K406*10^3)*C406))</f>
        <v>998.40682070000094</v>
      </c>
      <c r="Y406" s="323"/>
      <c r="Z406" s="323"/>
      <c r="AA406" s="323"/>
      <c r="AB406" s="323"/>
      <c r="AC406" s="323"/>
      <c r="AD406" s="323"/>
      <c r="AE406" s="323"/>
      <c r="AF406" s="323"/>
      <c r="AG406" s="323"/>
      <c r="AH406" s="323"/>
      <c r="AI406" s="323"/>
      <c r="AJ406" s="323"/>
      <c r="AK406" s="323"/>
      <c r="AL406" s="323"/>
      <c r="AM406" s="323"/>
      <c r="AN406" s="323">
        <f>IF(E406="Angiv ikke",0,((1+H406)*VLOOKUP(B406&amp;"_"&amp;E406,'LCA data'!$B$7:$X$360,20,FALSE)*(F406*10^3)*C406))</f>
        <v>-822.5948818304181</v>
      </c>
      <c r="AO406" s="323">
        <f>IF(J406="Angiv ikke",0,((1+M406)*VLOOKUP(B406&amp;"_"&amp;J406,'LCA data'!$B$7:$X$360,20,FALSE)*(K406*10^3)*C406))</f>
        <v>-5117.6000000000004</v>
      </c>
      <c r="AP406" s="323"/>
      <c r="AQ406" s="323"/>
      <c r="AR406" s="323">
        <f>IF(E406="Angiv ikke",0,((1+H406)*VLOOKUP(B406&amp;"_"&amp;E406,'LCA data'!$B$7:$AA$360,26,FALSE)*(F406*10^3)*C406))</f>
        <v>0</v>
      </c>
      <c r="AS406" s="323">
        <f>IF(J406="Angiv ikke",0,((1+M406)*VLOOKUP(B406&amp;"_"&amp;J406,'LCA data'!$B$7:$AA$360,26,FALSE)*(K406*10^3)*C406))</f>
        <v>6288</v>
      </c>
      <c r="AT406" s="323"/>
      <c r="AU406" s="323"/>
      <c r="AV406" s="323"/>
      <c r="AW406" s="323"/>
      <c r="AX406" s="323"/>
      <c r="AY406" s="323"/>
      <c r="AZ406" s="323"/>
      <c r="BA406" s="323"/>
      <c r="BB406" s="323"/>
      <c r="BC406" s="323"/>
      <c r="BD406" s="323"/>
      <c r="BE406" s="323"/>
      <c r="BF406" s="323"/>
      <c r="BG406" s="323"/>
      <c r="BH406" s="323"/>
      <c r="BI406" s="323"/>
      <c r="BJ406" s="323"/>
      <c r="BK406" s="323"/>
      <c r="BL406" s="323"/>
      <c r="BM406" s="323"/>
      <c r="BN406" s="323"/>
      <c r="BO406" s="323"/>
      <c r="BP406" s="323"/>
      <c r="BQ406" s="323"/>
      <c r="BR406" s="323"/>
      <c r="BS406" s="323"/>
      <c r="BT406" s="323"/>
      <c r="BU406" s="323"/>
      <c r="BV406" s="323"/>
      <c r="BW406" s="323"/>
      <c r="BX406" s="323"/>
      <c r="BY406" s="323"/>
      <c r="BZ406" s="323"/>
      <c r="CA406" s="323"/>
      <c r="CB406" s="323"/>
      <c r="CC406" s="323"/>
      <c r="CD406" s="323"/>
      <c r="CE406" s="323"/>
      <c r="CF406" s="323"/>
      <c r="CG406" s="323"/>
      <c r="CH406" s="323"/>
      <c r="CI406" s="323"/>
      <c r="CJ406" s="323"/>
      <c r="CK406" s="323"/>
      <c r="CL406" s="323"/>
      <c r="CM406" s="323"/>
      <c r="CN406" s="323"/>
      <c r="CO406" s="323"/>
      <c r="CP406" s="428"/>
      <c r="CQ406" s="441"/>
      <c r="CR406" s="323"/>
      <c r="CS406" s="323"/>
      <c r="CT406" s="323"/>
      <c r="CU406" s="323"/>
      <c r="CV406" s="323"/>
      <c r="CW406" s="323"/>
      <c r="CX406" s="323"/>
      <c r="CY406" s="323"/>
      <c r="CZ406" s="323"/>
    </row>
    <row r="407" spans="2:222" ht="40.4" customHeight="1" thickBot="1" x14ac:dyDescent="0.4">
      <c r="B407" s="209" t="str">
        <f>B145</f>
        <v>Loftsbeklædning</v>
      </c>
      <c r="C407" s="465">
        <f>IF($C$45-C417-C427-C437-C447&lt;0,0,$C$45-C417-C427-C437-C447)</f>
        <v>200</v>
      </c>
      <c r="D407" s="171" t="s">
        <v>103</v>
      </c>
      <c r="E407" s="344" t="str">
        <f>IF($E$403=$C$72,D407,VLOOKUP(B407,Auto_Etagedæk[],VLOOKUP($X$32,Type_Tung_Middel_Let[],2,0),0))</f>
        <v>Akrylmaling på puds</v>
      </c>
      <c r="F407" s="474">
        <f>(VLOOKUP(E407,Pris.loft.beklædning[],4,0))/1000</f>
        <v>3.0000000000000001E-3</v>
      </c>
      <c r="G407" s="354"/>
      <c r="H407" s="355">
        <f>IFERROR(IF(VLOOKUP(B407&amp;"_"&amp;E407,'LCA data'!$B$7:$X$200,2,FALSE)&lt;$Y$24,1,0)+IF(VLOOKUP(B407&amp;"_"&amp;E407,'LCA data'!$B$7:$X$200,2,FALSE)*2&lt;$Y$24,1,0),"")</f>
        <v>0</v>
      </c>
      <c r="I407" s="171" t="s">
        <v>103</v>
      </c>
      <c r="J407" s="344" t="str">
        <f>IF($J$403=$C$72,I407,VLOOKUP(B407,Auto_Etagedæk[],VLOOKUP($Y$32,Type_Tung_Middel_Let[],2,0),0))</f>
        <v>Bræddeloft</v>
      </c>
      <c r="K407" s="522">
        <f>(VLOOKUP(J407,Pris.loft.beklædning[],4,0))/1000</f>
        <v>1.4999999999999999E-2</v>
      </c>
      <c r="L407" s="519"/>
      <c r="M407" s="520">
        <f>IFERROR(IF(VLOOKUP(B407&amp;"_"&amp;J407,'LCA data'!$B$7:$X$200,2,FALSE)&lt;$Y$24,1,0)+IF(VLOOKUP(B407&amp;"_"&amp;J407,'LCA data'!$B$7:$X$200,2,FALSE)*2&lt;$Y$24,1,0),"")</f>
        <v>0</v>
      </c>
      <c r="N407" s="210">
        <f>W407/1000</f>
        <v>1.1600000000000001</v>
      </c>
      <c r="O407" s="879"/>
      <c r="P407" s="211">
        <f>X407/1000</f>
        <v>0.70400000000000074</v>
      </c>
      <c r="Q407" s="879"/>
      <c r="R407" s="212"/>
      <c r="S407" s="213"/>
      <c r="U407" s="251"/>
      <c r="V407" s="251"/>
      <c r="W407" s="323">
        <f>IF(E407="Angiv ikke",0,((1+H407)*VLOOKUP(B407&amp;"_"&amp;E407,'LCA data'!$B$7:$X$360,19,FALSE)*(F407*10^3)*C407))</f>
        <v>1160.0000000000002</v>
      </c>
      <c r="X407" s="323">
        <f>IF(J407="Angiv ikke",0,((1+M407)*VLOOKUP(B407&amp;"_"&amp;J407,'LCA data'!$B$7:$X$360,19,FALSE)*(K407*10^3)*C407))</f>
        <v>704.00000000000068</v>
      </c>
      <c r="Y407" s="323"/>
      <c r="Z407" s="323"/>
      <c r="AA407" s="323"/>
      <c r="AB407" s="323"/>
      <c r="AC407" s="323"/>
      <c r="AD407" s="323"/>
      <c r="AE407" s="323"/>
      <c r="AF407" s="323"/>
      <c r="AG407" s="323"/>
      <c r="AH407" s="323"/>
      <c r="AI407" s="323"/>
      <c r="AJ407" s="323"/>
      <c r="AK407" s="323"/>
      <c r="AL407" s="323"/>
      <c r="AM407" s="323"/>
      <c r="AN407" s="323">
        <f>IF(E407="Angiv ikke",0,((1+H407)*VLOOKUP(B407&amp;"_"&amp;E407,'LCA data'!$B$7:$X$360,20,FALSE)*(F407*10^3)*C407))</f>
        <v>-4</v>
      </c>
      <c r="AO407" s="323">
        <f>IF(J407="Angiv ikke",0,((1+M407)*VLOOKUP(B407&amp;"_"&amp;J407,'LCA data'!$B$7:$X$360,20,FALSE)*(K407*10^3)*C407))</f>
        <v>-1057.4000000000001</v>
      </c>
      <c r="AP407" s="323"/>
      <c r="AQ407" s="323"/>
      <c r="AR407" s="323">
        <f>IF(E407="Angiv ikke",0,((1+H407)*VLOOKUP(B407&amp;"_"&amp;E407,'LCA data'!$B$7:$AA$360,26,FALSE)*(F407*10^3)*C407))</f>
        <v>0</v>
      </c>
      <c r="AS407" s="323">
        <f>IF(J407="Angiv ikke",0,((1+M407)*VLOOKUP(B407&amp;"_"&amp;J407,'LCA data'!$B$7:$AA$360,26,FALSE)*(K407*10^3)*C407))</f>
        <v>2218</v>
      </c>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c r="BN407" s="323"/>
      <c r="BO407" s="323"/>
      <c r="BP407" s="323"/>
      <c r="BQ407" s="323"/>
      <c r="BR407" s="323"/>
      <c r="BS407" s="323"/>
      <c r="BT407" s="323"/>
      <c r="BU407" s="323"/>
      <c r="BV407" s="323"/>
      <c r="BW407" s="323"/>
      <c r="BX407" s="323"/>
      <c r="BY407" s="323"/>
      <c r="BZ407" s="323"/>
      <c r="CA407" s="323"/>
      <c r="CB407" s="323"/>
      <c r="CC407" s="323"/>
      <c r="CD407" s="323"/>
      <c r="CE407" s="323"/>
      <c r="CF407" s="323"/>
      <c r="CG407" s="323"/>
      <c r="CH407" s="323"/>
      <c r="CI407" s="323"/>
      <c r="CJ407" s="323"/>
      <c r="CK407" s="323"/>
      <c r="CL407" s="323"/>
      <c r="CM407" s="323"/>
      <c r="CN407" s="323"/>
      <c r="CO407" s="323"/>
      <c r="CP407" s="428"/>
      <c r="CQ407" s="441"/>
      <c r="CR407" s="323"/>
      <c r="CS407" s="323"/>
      <c r="CT407" s="323"/>
      <c r="CU407" s="323"/>
      <c r="CV407" s="323"/>
      <c r="CW407" s="323"/>
      <c r="CX407" s="323"/>
      <c r="CY407" s="323"/>
      <c r="CZ407" s="323"/>
    </row>
    <row r="408" spans="2:222" ht="17.149999999999999" customHeight="1" x14ac:dyDescent="0.35">
      <c r="B408" s="173" t="s">
        <v>130</v>
      </c>
      <c r="C408" s="217"/>
      <c r="E408" s="217"/>
      <c r="F408" s="217"/>
      <c r="G408" s="217"/>
      <c r="H408" s="217"/>
      <c r="J408" s="217"/>
      <c r="K408" s="217"/>
      <c r="L408" s="217"/>
      <c r="M408" s="217"/>
      <c r="N408" s="217"/>
      <c r="O408" s="217"/>
      <c r="P408" s="217"/>
      <c r="Q408" s="217"/>
      <c r="R408" s="217"/>
      <c r="U408" s="251"/>
      <c r="V408" s="251"/>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c r="BN408" s="323"/>
      <c r="BO408" s="323"/>
      <c r="BP408" s="323"/>
      <c r="BQ408" s="323"/>
      <c r="BR408" s="323"/>
      <c r="BS408" s="323"/>
      <c r="BT408" s="323"/>
      <c r="BU408" s="323"/>
      <c r="BV408" s="323"/>
      <c r="BW408" s="323"/>
      <c r="BX408" s="323"/>
      <c r="BY408" s="323"/>
      <c r="BZ408" s="323"/>
      <c r="CA408" s="323"/>
      <c r="CB408" s="323"/>
      <c r="CC408" s="323"/>
      <c r="CD408" s="323"/>
      <c r="CE408" s="323"/>
      <c r="CF408" s="323"/>
      <c r="CG408" s="323"/>
      <c r="CH408" s="323"/>
      <c r="CI408" s="323"/>
      <c r="CJ408" s="323"/>
      <c r="CK408" s="323"/>
      <c r="CL408" s="323"/>
      <c r="CM408" s="323"/>
      <c r="CN408" s="323"/>
      <c r="CO408" s="323"/>
      <c r="CP408" s="439"/>
      <c r="CQ408" s="446"/>
      <c r="CR408" s="323"/>
      <c r="CS408" s="323"/>
      <c r="CT408" s="323"/>
      <c r="CU408" s="323"/>
      <c r="CV408" s="323"/>
      <c r="CW408" s="323"/>
      <c r="CX408" s="323"/>
      <c r="CY408" s="323"/>
      <c r="CZ408" s="323"/>
    </row>
    <row r="409" spans="2:222" ht="17.149999999999999" customHeight="1" thickBot="1" x14ac:dyDescent="0.4">
      <c r="B409" s="542"/>
      <c r="C409" s="558"/>
      <c r="D409" s="542"/>
      <c r="E409" s="558"/>
      <c r="F409" s="558"/>
      <c r="G409" s="558"/>
      <c r="H409" s="558"/>
      <c r="I409" s="542"/>
      <c r="J409" s="558"/>
      <c r="K409" s="558"/>
      <c r="L409" s="558"/>
      <c r="M409" s="558"/>
      <c r="N409" s="217"/>
      <c r="O409" s="217"/>
      <c r="P409" s="217"/>
      <c r="Q409" s="217"/>
      <c r="R409" s="217"/>
      <c r="U409" s="251"/>
      <c r="V409" s="251"/>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c r="BN409" s="323"/>
      <c r="BO409" s="323"/>
      <c r="BP409" s="323"/>
      <c r="BQ409" s="323"/>
      <c r="BR409" s="323"/>
      <c r="BS409" s="323"/>
      <c r="BT409" s="323"/>
      <c r="BU409" s="323"/>
      <c r="BV409" s="323"/>
      <c r="BW409" s="323"/>
      <c r="BX409" s="323"/>
      <c r="BY409" s="323"/>
      <c r="BZ409" s="323"/>
      <c r="CA409" s="323"/>
      <c r="CB409" s="323"/>
      <c r="CC409" s="323"/>
      <c r="CD409" s="323"/>
      <c r="CE409" s="323"/>
      <c r="CF409" s="323"/>
      <c r="CG409" s="323"/>
      <c r="CH409" s="323"/>
      <c r="CI409" s="323"/>
      <c r="CJ409" s="323"/>
      <c r="CK409" s="323"/>
      <c r="CL409" s="323"/>
      <c r="CM409" s="323"/>
      <c r="CN409" s="323"/>
      <c r="CO409" s="323"/>
      <c r="CP409" s="439"/>
      <c r="CQ409" s="440"/>
      <c r="CR409" s="323"/>
      <c r="CS409" s="323"/>
      <c r="CT409" s="323"/>
      <c r="CU409" s="323"/>
      <c r="CV409" s="323"/>
      <c r="CW409" s="323"/>
      <c r="CX409" s="323"/>
      <c r="CY409" s="323"/>
      <c r="CZ409" s="323"/>
    </row>
    <row r="410" spans="2:222" ht="29.25" customHeight="1" outlineLevel="1" x14ac:dyDescent="0.7">
      <c r="B410" s="493" t="s">
        <v>112</v>
      </c>
      <c r="C410" s="506"/>
      <c r="D410" s="506"/>
      <c r="E410" s="506" t="s">
        <v>39</v>
      </c>
      <c r="F410" s="499"/>
      <c r="G410" s="499"/>
      <c r="H410" s="499"/>
      <c r="I410" s="500" t="str">
        <f>"Etagedæk"&amp;" "&amp;2</f>
        <v>Etagedæk 2</v>
      </c>
      <c r="J410" s="500"/>
      <c r="K410" s="499"/>
      <c r="L410" s="499"/>
      <c r="M410" s="499"/>
      <c r="N410" s="499"/>
      <c r="O410" s="499"/>
      <c r="P410" s="499"/>
      <c r="Q410" s="501"/>
      <c r="R410" s="409"/>
      <c r="S410" s="191"/>
      <c r="U410" s="251"/>
      <c r="V410" s="251"/>
      <c r="W410" s="323">
        <f>IF(D413=$D$82,1,0)</f>
        <v>1</v>
      </c>
      <c r="X410" s="323">
        <f>IF(I413=$D$82,1,0)</f>
        <v>1</v>
      </c>
      <c r="Y410" s="323"/>
      <c r="Z410" s="323"/>
      <c r="AA410" s="323"/>
      <c r="AB410" s="323"/>
      <c r="AC410" s="323"/>
      <c r="AD410" s="323"/>
      <c r="AE410" s="323"/>
      <c r="AF410" s="323"/>
      <c r="AG410" s="323"/>
      <c r="AH410" s="323"/>
      <c r="AI410" s="323"/>
      <c r="AJ410" s="323" t="s">
        <v>746</v>
      </c>
      <c r="AK410" s="323" t="s">
        <v>747</v>
      </c>
      <c r="AL410" s="323"/>
      <c r="AM410" s="323"/>
      <c r="AN410" s="323" t="s">
        <v>846</v>
      </c>
      <c r="AO410" s="323"/>
      <c r="AP410" s="323"/>
      <c r="AQ410" s="323"/>
      <c r="AR410" s="323" t="s">
        <v>851</v>
      </c>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c r="BN410" s="323"/>
      <c r="BO410" s="323"/>
      <c r="BP410" s="323"/>
      <c r="BQ410" s="323"/>
      <c r="BR410" s="323"/>
      <c r="BS410" s="323"/>
      <c r="BT410" s="323"/>
      <c r="BU410" s="323"/>
      <c r="BV410" s="323"/>
      <c r="BW410" s="323"/>
      <c r="BX410" s="323"/>
      <c r="BY410" s="323"/>
      <c r="BZ410" s="323"/>
      <c r="CA410" s="323"/>
      <c r="CB410" s="323"/>
      <c r="CC410" s="323"/>
      <c r="CD410" s="323"/>
      <c r="CE410" s="323"/>
      <c r="CF410" s="323"/>
      <c r="CG410" s="323"/>
      <c r="CH410" s="323"/>
      <c r="CI410" s="323"/>
      <c r="CJ410" s="323"/>
      <c r="CK410" s="323"/>
      <c r="CL410" s="323"/>
      <c r="CM410" s="323"/>
      <c r="CN410" s="323"/>
      <c r="CO410" s="323"/>
      <c r="CP410" s="447"/>
      <c r="CQ410" s="448"/>
      <c r="CR410" s="323"/>
      <c r="CS410" s="323"/>
      <c r="CT410" s="323"/>
      <c r="CU410" s="323"/>
      <c r="CV410" s="323"/>
      <c r="CW410" s="323"/>
      <c r="CX410" s="323"/>
      <c r="CY410" s="323"/>
      <c r="CZ410" s="323"/>
    </row>
    <row r="411" spans="2:222" ht="40.4" customHeight="1" outlineLevel="1" x14ac:dyDescent="0.35">
      <c r="B411" s="359" t="s">
        <v>78</v>
      </c>
      <c r="C411" s="195" t="s">
        <v>80</v>
      </c>
      <c r="D411" s="910" t="s">
        <v>4</v>
      </c>
      <c r="E411" s="911"/>
      <c r="F411" s="911"/>
      <c r="G411" s="911"/>
      <c r="H411" s="912"/>
      <c r="I411" s="885" t="s">
        <v>5</v>
      </c>
      <c r="J411" s="886"/>
      <c r="K411" s="886"/>
      <c r="L411" s="886"/>
      <c r="M411" s="887"/>
      <c r="N411" s="877" t="s">
        <v>79</v>
      </c>
      <c r="O411" s="877"/>
      <c r="P411" s="877"/>
      <c r="Q411" s="881"/>
      <c r="R411" s="192"/>
      <c r="S411" s="411"/>
      <c r="T411" s="175"/>
      <c r="U411" s="251"/>
      <c r="V411" s="251"/>
      <c r="W411" s="323"/>
      <c r="X411" s="323"/>
      <c r="Y411" s="323"/>
      <c r="Z411" s="323"/>
      <c r="AA411" s="323"/>
      <c r="AB411" s="323"/>
      <c r="AC411" s="323"/>
      <c r="AD411" s="323"/>
      <c r="AE411" s="323"/>
      <c r="AF411" s="323"/>
      <c r="AG411" s="323"/>
      <c r="AH411" s="323"/>
      <c r="AI411" s="323" t="s">
        <v>338</v>
      </c>
      <c r="AJ411" s="323">
        <f>VLOOKUP(E414,Pris.gulv.belægning[],2,0)*C414</f>
        <v>0</v>
      </c>
      <c r="AK411" s="323">
        <f>VLOOKUP(J414,Pris.gulv.belægning[],2,0)*C414</f>
        <v>0</v>
      </c>
      <c r="AL411" s="323"/>
      <c r="AM411" s="323"/>
      <c r="AN411" s="323" t="s">
        <v>4</v>
      </c>
      <c r="AO411" s="323" t="s">
        <v>5</v>
      </c>
      <c r="AP411" s="323"/>
      <c r="AQ411" s="323"/>
      <c r="AR411" s="323" t="s">
        <v>4</v>
      </c>
      <c r="AS411" s="323" t="s">
        <v>5</v>
      </c>
      <c r="AT411" s="323"/>
      <c r="AU411" s="323"/>
      <c r="AV411" s="323"/>
      <c r="AW411" s="323"/>
      <c r="AX411" s="323"/>
      <c r="AY411" s="323"/>
      <c r="AZ411" s="323"/>
      <c r="BA411" s="323"/>
      <c r="BB411" s="323"/>
      <c r="BC411" s="323"/>
      <c r="BD411" s="323"/>
      <c r="BE411" s="323"/>
      <c r="BF411" s="323"/>
      <c r="BG411" s="323"/>
      <c r="BH411" s="323"/>
      <c r="BI411" s="323"/>
      <c r="BJ411" s="323"/>
      <c r="BK411" s="323"/>
      <c r="BL411" s="323"/>
      <c r="BM411" s="323"/>
      <c r="BN411" s="323"/>
      <c r="BO411" s="323"/>
      <c r="BP411" s="323"/>
      <c r="BQ411" s="323"/>
      <c r="BR411" s="323"/>
      <c r="BS411" s="323"/>
      <c r="BT411" s="323"/>
      <c r="BU411" s="323"/>
      <c r="BV411" s="323"/>
      <c r="BW411" s="323"/>
      <c r="BX411" s="323"/>
      <c r="BY411" s="323"/>
      <c r="BZ411" s="323"/>
      <c r="CA411" s="323"/>
      <c r="CB411" s="323"/>
      <c r="CC411" s="323"/>
      <c r="CD411" s="323"/>
      <c r="CE411" s="323"/>
      <c r="CF411" s="323"/>
      <c r="CG411" s="323"/>
      <c r="CH411" s="323"/>
      <c r="CI411" s="323"/>
      <c r="CJ411" s="323"/>
      <c r="CK411" s="323"/>
      <c r="CL411" s="323"/>
      <c r="CM411" s="323"/>
      <c r="CN411" s="323"/>
      <c r="CO411" s="323"/>
      <c r="CP411" s="439"/>
      <c r="CQ411" s="440"/>
      <c r="CR411" s="323"/>
      <c r="CS411" s="323"/>
      <c r="CT411" s="323"/>
      <c r="CU411" s="323"/>
      <c r="CV411" s="323"/>
      <c r="CW411" s="323"/>
      <c r="CX411" s="323"/>
      <c r="CY411" s="323"/>
      <c r="CZ411" s="323"/>
    </row>
    <row r="412" spans="2:222" ht="47.15" customHeight="1" outlineLevel="1" x14ac:dyDescent="0.35">
      <c r="B412" s="194"/>
      <c r="C412" s="665">
        <v>0</v>
      </c>
      <c r="D412" s="908" t="s">
        <v>797</v>
      </c>
      <c r="E412" s="909"/>
      <c r="F412" s="338" t="s">
        <v>82</v>
      </c>
      <c r="G412" s="338"/>
      <c r="H412" s="346" t="s">
        <v>84</v>
      </c>
      <c r="I412" s="913" t="s">
        <v>797</v>
      </c>
      <c r="J412" s="914"/>
      <c r="K412" s="479" t="s">
        <v>82</v>
      </c>
      <c r="L412" s="479"/>
      <c r="M412" s="508" t="s">
        <v>84</v>
      </c>
      <c r="N412" s="195" t="s">
        <v>4</v>
      </c>
      <c r="O412" s="195" t="s">
        <v>85</v>
      </c>
      <c r="P412" s="195" t="s">
        <v>5</v>
      </c>
      <c r="Q412" s="357" t="s">
        <v>86</v>
      </c>
      <c r="R412" s="192"/>
      <c r="S412" s="193"/>
      <c r="U412" s="251"/>
      <c r="V412" s="251"/>
      <c r="W412" s="323" t="s">
        <v>87</v>
      </c>
      <c r="X412" s="323" t="s">
        <v>88</v>
      </c>
      <c r="Y412" s="323"/>
      <c r="Z412" s="323"/>
      <c r="AA412" s="323" t="s">
        <v>91</v>
      </c>
      <c r="AB412" s="323"/>
      <c r="AC412" s="323"/>
      <c r="AD412" s="323"/>
      <c r="AE412" s="323" t="s">
        <v>92</v>
      </c>
      <c r="AF412" s="323"/>
      <c r="AG412" s="323"/>
      <c r="AH412" s="323"/>
      <c r="AI412" s="323" t="str">
        <f>'LCA data'!$B$32</f>
        <v>Isolering</v>
      </c>
      <c r="AJ412" s="323">
        <f>VLOOKUP(E415,Pris.isolering[],2,0)*F415*C415</f>
        <v>0</v>
      </c>
      <c r="AK412" s="323">
        <f>VLOOKUP(J415,Pris.isolering[],2,0)*K415*C415</f>
        <v>0</v>
      </c>
      <c r="AL412" s="323"/>
      <c r="AM412" s="323"/>
      <c r="AN412" s="323">
        <f>SUM(AN414:AN418)</f>
        <v>0</v>
      </c>
      <c r="AO412" s="323">
        <f>SUM(AO414:AO418)</f>
        <v>0</v>
      </c>
      <c r="AP412" s="323"/>
      <c r="AQ412" s="323"/>
      <c r="AR412" s="323">
        <f>SUM(AR414:AR417)</f>
        <v>0</v>
      </c>
      <c r="AS412" s="323">
        <f>SUM(AS414:AS417)</f>
        <v>0</v>
      </c>
      <c r="AT412" s="323"/>
      <c r="AU412" s="323"/>
      <c r="AV412" s="323"/>
      <c r="AW412" s="323"/>
      <c r="AX412" s="323"/>
      <c r="AY412" s="323"/>
      <c r="AZ412" s="323"/>
      <c r="BA412" s="323"/>
      <c r="BB412" s="323"/>
      <c r="BC412" s="323"/>
      <c r="BD412" s="323"/>
      <c r="BE412" s="323"/>
      <c r="BF412" s="323"/>
      <c r="BG412" s="323"/>
      <c r="BH412" s="323"/>
      <c r="BI412" s="323"/>
      <c r="BJ412" s="323"/>
      <c r="BK412" s="323"/>
      <c r="BL412" s="323"/>
      <c r="BM412" s="323"/>
      <c r="BN412" s="323"/>
      <c r="BO412" s="323"/>
      <c r="BP412" s="323"/>
      <c r="BQ412" s="323"/>
      <c r="BR412" s="323"/>
      <c r="BS412" s="323"/>
      <c r="BT412" s="323"/>
      <c r="BU412" s="323"/>
      <c r="BV412" s="323"/>
      <c r="BW412" s="323"/>
      <c r="BX412" s="323"/>
      <c r="BY412" s="323"/>
      <c r="BZ412" s="323"/>
      <c r="CA412" s="323"/>
      <c r="CB412" s="323"/>
      <c r="CC412" s="323"/>
      <c r="CD412" s="323"/>
      <c r="CE412" s="323"/>
      <c r="CF412" s="323"/>
      <c r="CG412" s="323"/>
      <c r="CH412" s="323"/>
      <c r="CI412" s="323"/>
      <c r="CJ412" s="323"/>
      <c r="CK412" s="323"/>
      <c r="CL412" s="323"/>
      <c r="CM412" s="323"/>
      <c r="CN412" s="323"/>
      <c r="CO412" s="323"/>
      <c r="CP412" s="439"/>
      <c r="CQ412" s="440"/>
      <c r="CR412" s="323"/>
      <c r="CS412" s="323"/>
      <c r="CT412" s="323"/>
      <c r="CU412" s="323"/>
      <c r="CV412" s="323"/>
      <c r="CW412" s="323"/>
      <c r="CX412" s="323"/>
      <c r="CY412" s="323"/>
      <c r="CZ412" s="323"/>
    </row>
    <row r="413" spans="2:222" s="198" customFormat="1" ht="26" customHeight="1" outlineLevel="1" x14ac:dyDescent="0.35">
      <c r="B413" s="199"/>
      <c r="C413" s="200" t="s">
        <v>93</v>
      </c>
      <c r="D413" s="915" t="s">
        <v>811</v>
      </c>
      <c r="E413" s="915"/>
      <c r="F413" s="347" t="s">
        <v>94</v>
      </c>
      <c r="G413" s="348"/>
      <c r="H413" s="349" t="s">
        <v>96</v>
      </c>
      <c r="I413" s="915" t="s">
        <v>811</v>
      </c>
      <c r="J413" s="915"/>
      <c r="K413" s="510" t="s">
        <v>94</v>
      </c>
      <c r="L413" s="511"/>
      <c r="M413" s="512" t="s">
        <v>96</v>
      </c>
      <c r="N413" s="201" t="s">
        <v>97</v>
      </c>
      <c r="O413" s="201" t="s">
        <v>97</v>
      </c>
      <c r="P413" s="201" t="s">
        <v>97</v>
      </c>
      <c r="Q413" s="358" t="s">
        <v>97</v>
      </c>
      <c r="R413" s="192"/>
      <c r="S413" s="196"/>
      <c r="T413" s="204"/>
      <c r="U413" s="325"/>
      <c r="V413" s="325"/>
      <c r="W413" s="323">
        <f>SUM(W414:W418)</f>
        <v>0</v>
      </c>
      <c r="X413" s="323">
        <f>SUM(X414:X418)</f>
        <v>0</v>
      </c>
      <c r="Y413" s="323"/>
      <c r="Z413" s="323"/>
      <c r="AA413" s="323"/>
      <c r="AB413" s="323" t="s">
        <v>111</v>
      </c>
      <c r="AC413" s="323"/>
      <c r="AD413" s="323" t="s">
        <v>99</v>
      </c>
      <c r="AE413" s="323" t="s">
        <v>100</v>
      </c>
      <c r="AF413" s="323"/>
      <c r="AG413" s="323"/>
      <c r="AH413" s="323"/>
      <c r="AI413" s="323" t="s">
        <v>41</v>
      </c>
      <c r="AJ413" s="323">
        <f>VLOOKUP(E416,Pris.Etagedæk[],2,0)*C416</f>
        <v>0</v>
      </c>
      <c r="AK413" s="323">
        <f>VLOOKUP(J416,Pris.Etagedæk[],2,0)*C416</f>
        <v>0</v>
      </c>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c r="BM413" s="323"/>
      <c r="BN413" s="323"/>
      <c r="BO413" s="323"/>
      <c r="BP413" s="323"/>
      <c r="BQ413" s="323"/>
      <c r="BR413" s="323"/>
      <c r="BS413" s="323"/>
      <c r="BT413" s="323"/>
      <c r="BU413" s="323"/>
      <c r="BV413" s="323"/>
      <c r="BW413" s="323"/>
      <c r="BX413" s="323"/>
      <c r="BY413" s="323"/>
      <c r="BZ413" s="323"/>
      <c r="CA413" s="323"/>
      <c r="CB413" s="323"/>
      <c r="CC413" s="323"/>
      <c r="CD413" s="323"/>
      <c r="CE413" s="323"/>
      <c r="CF413" s="323"/>
      <c r="CG413" s="323"/>
      <c r="CH413" s="323"/>
      <c r="CI413" s="323"/>
      <c r="CJ413" s="323"/>
      <c r="CK413" s="323"/>
      <c r="CL413" s="323"/>
      <c r="CM413" s="323"/>
      <c r="CN413" s="323"/>
      <c r="CO413" s="323"/>
      <c r="CP413" s="444"/>
      <c r="CQ413" s="440"/>
      <c r="CR413" s="323"/>
      <c r="CS413" s="323"/>
      <c r="CT413" s="323"/>
      <c r="CU413" s="323"/>
      <c r="CV413" s="323"/>
      <c r="CW413" s="323"/>
      <c r="CX413" s="323"/>
      <c r="CY413" s="323"/>
      <c r="CZ413" s="323"/>
      <c r="DA413" s="325"/>
      <c r="DB413" s="325"/>
      <c r="DC413" s="325"/>
      <c r="DD413" s="325"/>
      <c r="DE413" s="325"/>
      <c r="DF413" s="325"/>
      <c r="DG413" s="325"/>
      <c r="DH413" s="325"/>
      <c r="DI413" s="325"/>
      <c r="DJ413" s="325"/>
      <c r="DK413" s="325"/>
      <c r="DL413" s="325"/>
      <c r="DM413" s="325"/>
      <c r="DN413" s="325"/>
      <c r="DO413" s="325"/>
      <c r="DP413" s="325"/>
      <c r="DQ413" s="325"/>
      <c r="DR413" s="325"/>
      <c r="DS413" s="325"/>
      <c r="DT413" s="325"/>
      <c r="DU413" s="325"/>
      <c r="DV413" s="325"/>
      <c r="DW413" s="325"/>
      <c r="DX413" s="325"/>
      <c r="DY413" s="325"/>
      <c r="DZ413" s="325"/>
      <c r="EA413" s="325"/>
      <c r="EB413" s="325"/>
      <c r="EC413" s="325"/>
      <c r="ED413" s="325"/>
      <c r="EE413" s="325"/>
      <c r="EF413" s="325"/>
      <c r="EG413" s="325"/>
      <c r="EH413" s="325"/>
      <c r="EI413" s="325"/>
      <c r="EJ413" s="325"/>
      <c r="EK413" s="325"/>
      <c r="EL413" s="325"/>
      <c r="EM413" s="325"/>
      <c r="EN413" s="325"/>
      <c r="EO413" s="325"/>
      <c r="EP413" s="325"/>
      <c r="EQ413" s="325"/>
      <c r="ER413" s="325"/>
      <c r="ES413" s="325"/>
      <c r="ET413" s="325"/>
      <c r="EU413" s="325"/>
      <c r="EV413" s="325"/>
      <c r="EW413" s="325"/>
      <c r="EX413" s="325"/>
      <c r="EY413" s="325"/>
      <c r="EZ413" s="325"/>
      <c r="FA413" s="325"/>
      <c r="FB413" s="325"/>
      <c r="FC413" s="325"/>
      <c r="FD413" s="325"/>
      <c r="FE413" s="325"/>
      <c r="FF413" s="325"/>
      <c r="FG413" s="325"/>
      <c r="FH413" s="325"/>
      <c r="FI413" s="325"/>
      <c r="FJ413" s="325"/>
      <c r="FK413" s="325"/>
      <c r="FL413" s="325"/>
      <c r="FM413" s="325"/>
      <c r="FN413" s="325"/>
      <c r="FO413" s="325"/>
      <c r="FP413" s="325"/>
      <c r="FQ413" s="325"/>
      <c r="FR413" s="325"/>
      <c r="FS413" s="325"/>
      <c r="FT413" s="325"/>
      <c r="FU413" s="325"/>
      <c r="FV413" s="325"/>
      <c r="FW413" s="325"/>
      <c r="FX413" s="325"/>
      <c r="FY413" s="325"/>
      <c r="FZ413" s="325"/>
      <c r="GA413" s="325"/>
      <c r="GB413" s="325"/>
      <c r="GC413" s="325"/>
      <c r="GD413" s="325"/>
      <c r="GE413" s="325"/>
      <c r="GF413" s="325"/>
      <c r="GG413" s="325"/>
      <c r="GH413" s="325"/>
      <c r="GI413" s="325"/>
      <c r="GJ413" s="325"/>
      <c r="GK413" s="325"/>
      <c r="GL413" s="325"/>
      <c r="GM413" s="325"/>
      <c r="GN413" s="325"/>
      <c r="GO413" s="325"/>
      <c r="GP413" s="325"/>
      <c r="GQ413" s="325"/>
      <c r="GR413" s="325"/>
      <c r="GS413" s="325"/>
      <c r="GT413" s="325"/>
      <c r="GU413" s="325"/>
      <c r="GV413" s="325"/>
      <c r="GW413" s="325"/>
      <c r="GX413" s="325"/>
      <c r="GY413" s="325"/>
      <c r="GZ413" s="325"/>
      <c r="HA413" s="325"/>
      <c r="HB413" s="325"/>
      <c r="HC413" s="325"/>
      <c r="HD413" s="325"/>
      <c r="HE413" s="325"/>
      <c r="HF413" s="325"/>
      <c r="HG413" s="325"/>
      <c r="HH413" s="325"/>
      <c r="HI413" s="325"/>
      <c r="HJ413" s="325"/>
      <c r="HK413" s="325"/>
      <c r="HL413" s="325"/>
      <c r="HM413" s="325"/>
      <c r="HN413" s="325"/>
    </row>
    <row r="414" spans="2:222" ht="40.4" customHeight="1" outlineLevel="1" x14ac:dyDescent="0.35">
      <c r="B414" s="363" t="str">
        <f>B212</f>
        <v>Gulvoverflade</v>
      </c>
      <c r="C414" s="465">
        <f>$C$412*$C$45</f>
        <v>0</v>
      </c>
      <c r="D414" s="15" t="s">
        <v>103</v>
      </c>
      <c r="E414" s="342" t="str">
        <f>IF($D$413=$D$82,D414,VLOOKUP(B414,Auto_Etagedæk[],VLOOKUP($D$413,Type_Tung_Middel_Let[],2,0),0))</f>
        <v>Angiv ikke</v>
      </c>
      <c r="F414" s="356">
        <f>(VLOOKUP(E414,Pris.gulv.belægning[],4,0))/1000</f>
        <v>0</v>
      </c>
      <c r="G414" s="350"/>
      <c r="H414" s="351" t="str">
        <f>IFERROR(IF(VLOOKUP(B414&amp;"_"&amp;E414,'LCA data'!$B$7:$X$200,2,FALSE)&lt;$Y$24,1,0)+IF(VLOOKUP(B414&amp;"_"&amp;E414,'LCA data'!$B$7:$X$200,2,FALSE)*2&lt;$Y$24,1,0),"")</f>
        <v/>
      </c>
      <c r="I414" s="15" t="s">
        <v>103</v>
      </c>
      <c r="J414" s="342" t="str">
        <f>IF($I$413=$D$82,I414,VLOOKUP(B414,Auto_Etagedæk[],VLOOKUP($I$413,Type_Tung_Middel_Let[],2,0),0))</f>
        <v>Angiv ikke</v>
      </c>
      <c r="K414" s="513">
        <f>(VLOOKUP(J414,Pris.gulv.belægning[],4,0))/1000</f>
        <v>0</v>
      </c>
      <c r="L414" s="514"/>
      <c r="M414" s="515" t="str">
        <f>IFERROR(IF(VLOOKUP(B414&amp;"_"&amp;J414,'LCA data'!$B$7:$X$200,2,FALSE)&lt;$Y$24,1,0)+IF(VLOOKUP(B414&amp;"_"&amp;J414,'LCA data'!$B$7:$X$200,2,FALSE)*2&lt;$Y$24,1,0),"")</f>
        <v/>
      </c>
      <c r="N414" s="364">
        <f>W414/1000</f>
        <v>0</v>
      </c>
      <c r="O414" s="880">
        <f>SUM(N414:N418)</f>
        <v>0</v>
      </c>
      <c r="P414" s="365">
        <f>X414/1000</f>
        <v>0</v>
      </c>
      <c r="Q414" s="888">
        <f>SUM(P414:P418)</f>
        <v>0</v>
      </c>
      <c r="R414" s="202"/>
      <c r="S414" s="203"/>
      <c r="U414" s="251"/>
      <c r="V414" s="251"/>
      <c r="W414" s="323">
        <f>IF(E414="Angiv ikke",0,((1+H414)*VLOOKUP(B414&amp;"_"&amp;E414,'LCA data'!$B$7:$X$360,19,FALSE)*(F414*10^3)*C414))</f>
        <v>0</v>
      </c>
      <c r="X414" s="323">
        <f>IF(J414="Angiv ikke",0,((1+M414)*VLOOKUP(B414&amp;"_"&amp;J414,'LCA data'!$B$7:$X$360,19,FALSE)*(K414*10^3)*C414))</f>
        <v>0</v>
      </c>
      <c r="Y414" s="323"/>
      <c r="Z414" s="323"/>
      <c r="AA414" s="323" t="s">
        <v>4</v>
      </c>
      <c r="AB414" s="323">
        <f>AF414/$J$21/$Y$24*1000</f>
        <v>0</v>
      </c>
      <c r="AC414" s="323"/>
      <c r="AD414" s="323">
        <f>AB414+AC414</f>
        <v>0</v>
      </c>
      <c r="AE414" s="323" t="s">
        <v>4</v>
      </c>
      <c r="AF414" s="323">
        <f>W413/1000</f>
        <v>0</v>
      </c>
      <c r="AG414" s="323"/>
      <c r="AH414" s="323"/>
      <c r="AI414" s="323" t="str">
        <f>'LCA data'!$B$105</f>
        <v>Loftsbeklædning</v>
      </c>
      <c r="AJ414" s="323">
        <f>VLOOKUP(E417,Pris.loft.beklædning[],2,0)*C417</f>
        <v>0</v>
      </c>
      <c r="AK414" s="323">
        <f>VLOOKUP(J417,Pris.loft.beklædning[],2,0)*C417</f>
        <v>0</v>
      </c>
      <c r="AL414" s="323"/>
      <c r="AM414" s="323"/>
      <c r="AN414" s="323">
        <f>IF(E414="Angiv ikke",0,((1+H414)*VLOOKUP(B414&amp;"_"&amp;E414,'LCA data'!$B$7:$X$360,20,FALSE)*(F414*10^3)*C414))</f>
        <v>0</v>
      </c>
      <c r="AO414" s="323">
        <f>IF(J414="Angiv ikke",0,((1+M414)*VLOOKUP(B414&amp;"_"&amp;J414,'LCA data'!$B$7:$X$360,20,FALSE)*(K414*10^3)*C414))</f>
        <v>0</v>
      </c>
      <c r="AP414" s="323"/>
      <c r="AQ414" s="323"/>
      <c r="AR414" s="323">
        <f>IF(E414="Angiv ikke",0,((1+H414)*VLOOKUP(B414&amp;"_"&amp;E414,'LCA data'!$B$7:$AA$360,26,FALSE)*(F414*10^3)*C414))</f>
        <v>0</v>
      </c>
      <c r="AS414" s="323">
        <f>IF(J414="Angiv ikke",0,((1+M414)*VLOOKUP(B414&amp;"_"&amp;J414,'LCA data'!$B$7:$AA$360,26,FALSE)*(K414*10^3)*C414))</f>
        <v>0</v>
      </c>
      <c r="AT414" s="323"/>
      <c r="AU414" s="323"/>
      <c r="AV414" s="323"/>
      <c r="AW414" s="323"/>
      <c r="AX414" s="323"/>
      <c r="AY414" s="323"/>
      <c r="AZ414" s="323"/>
      <c r="BA414" s="323"/>
      <c r="BB414" s="323"/>
      <c r="BC414" s="323"/>
      <c r="BD414" s="323"/>
      <c r="BE414" s="323"/>
      <c r="BF414" s="323"/>
      <c r="BG414" s="323"/>
      <c r="BH414" s="323"/>
      <c r="BI414" s="323"/>
      <c r="BJ414" s="323"/>
      <c r="BK414" s="323"/>
      <c r="BL414" s="323"/>
      <c r="BM414" s="323"/>
      <c r="BN414" s="323"/>
      <c r="BO414" s="323"/>
      <c r="BP414" s="323"/>
      <c r="BQ414" s="323"/>
      <c r="BR414" s="323"/>
      <c r="BS414" s="323"/>
      <c r="BT414" s="323"/>
      <c r="BU414" s="323"/>
      <c r="BV414" s="323"/>
      <c r="BW414" s="323"/>
      <c r="BX414" s="323"/>
      <c r="BY414" s="323"/>
      <c r="BZ414" s="323"/>
      <c r="CA414" s="323"/>
      <c r="CB414" s="323"/>
      <c r="CC414" s="323"/>
      <c r="CD414" s="323"/>
      <c r="CE414" s="323"/>
      <c r="CF414" s="323"/>
      <c r="CG414" s="323"/>
      <c r="CH414" s="323"/>
      <c r="CI414" s="323"/>
      <c r="CJ414" s="323"/>
      <c r="CK414" s="323"/>
      <c r="CL414" s="323"/>
      <c r="CM414" s="323"/>
      <c r="CN414" s="323"/>
      <c r="CO414" s="323"/>
      <c r="CP414" s="439"/>
      <c r="CQ414" s="440"/>
      <c r="CR414" s="323"/>
      <c r="CS414" s="323"/>
      <c r="CT414" s="323"/>
      <c r="CU414" s="323"/>
      <c r="CV414" s="323"/>
      <c r="CW414" s="323"/>
      <c r="CX414" s="323"/>
      <c r="CY414" s="323"/>
      <c r="CZ414" s="323"/>
    </row>
    <row r="415" spans="2:222" ht="40.4" customHeight="1" outlineLevel="1" x14ac:dyDescent="0.35">
      <c r="B415" s="208" t="str">
        <f>'LCA data'!$B$32</f>
        <v>Isolering</v>
      </c>
      <c r="C415" s="465">
        <f t="shared" ref="C415:C417" si="25">$C$412*$C$45</f>
        <v>0</v>
      </c>
      <c r="D415" s="168" t="s">
        <v>103</v>
      </c>
      <c r="E415" s="342" t="str">
        <f>IF($D$413=$D$82,D415,VLOOKUP(B415,Auto_Etagedæk[],VLOOKUP($D$413,Type_Tung_Middel_Let[],2,0),0))</f>
        <v>Angiv ikke</v>
      </c>
      <c r="F415" s="11">
        <v>0.15</v>
      </c>
      <c r="G415" s="353"/>
      <c r="H415" s="351" t="str">
        <f>IFERROR(IF(VLOOKUP(B415&amp;"_"&amp;E415,'LCA data'!$B$7:$X$200,2,FALSE)&lt;$Y$24,1,0)+IF(VLOOKUP(B415&amp;"_"&amp;E415,'LCA data'!$B$7:$X$200,2,FALSE)*2&lt;$Y$24,1,0),"")</f>
        <v/>
      </c>
      <c r="I415" s="168" t="s">
        <v>103</v>
      </c>
      <c r="J415" s="342" t="str">
        <f>IF($I$413=$D$82,I415,VLOOKUP(B415,Auto_Etagedæk[],VLOOKUP($I$413,Type_Tung_Middel_Let[],2,0),0))</f>
        <v>Angiv ikke</v>
      </c>
      <c r="K415" s="11">
        <v>0.15</v>
      </c>
      <c r="L415" s="528"/>
      <c r="M415" s="515" t="str">
        <f>IFERROR(IF(VLOOKUP(B415&amp;"_"&amp;J415,'LCA data'!$B$7:$X$200,2,FALSE)&lt;$Y$24,1,0)+IF(VLOOKUP(B415&amp;"_"&amp;J415,'LCA data'!$B$7:$X$200,2,FALSE)*2&lt;$Y$24,1,0),"")</f>
        <v/>
      </c>
      <c r="N415" s="206">
        <f>W415/1000</f>
        <v>0</v>
      </c>
      <c r="O415" s="878"/>
      <c r="P415" s="207">
        <f>X415/1000</f>
        <v>0</v>
      </c>
      <c r="Q415" s="889"/>
      <c r="R415" s="192"/>
      <c r="S415" s="196"/>
      <c r="U415" s="251"/>
      <c r="V415" s="251"/>
      <c r="W415" s="323">
        <f>IF(E415="Angiv ikke",0,((1+H415)*VLOOKUP(B415&amp;"_"&amp;E415,'LCA data'!$B$7:$X$360,19,FALSE)*(F415*10^3)*C415))</f>
        <v>0</v>
      </c>
      <c r="X415" s="323">
        <f>IF(J415="Angiv ikke",0,((1+M415)*VLOOKUP(B415&amp;"_"&amp;J415,'LCA data'!$B$7:$X$360,19,FALSE)*(K415*10^3)*C415))</f>
        <v>0</v>
      </c>
      <c r="Y415" s="323"/>
      <c r="Z415" s="323"/>
      <c r="AA415" s="323" t="s">
        <v>5</v>
      </c>
      <c r="AB415" s="323">
        <f>AG415/$J$21/$Y$24*1000</f>
        <v>0</v>
      </c>
      <c r="AC415" s="323"/>
      <c r="AD415" s="323">
        <f>AB415+AC415</f>
        <v>0</v>
      </c>
      <c r="AE415" s="323" t="s">
        <v>5</v>
      </c>
      <c r="AF415" s="323"/>
      <c r="AG415" s="323">
        <f>X413/1000</f>
        <v>0</v>
      </c>
      <c r="AH415" s="323"/>
      <c r="AI415" s="323" t="s">
        <v>743</v>
      </c>
      <c r="AJ415" s="323">
        <f>SUM(AJ411:AJ414)</f>
        <v>0</v>
      </c>
      <c r="AK415" s="323">
        <f>SUM(AK411:AK414)</f>
        <v>0</v>
      </c>
      <c r="AL415" s="323"/>
      <c r="AM415" s="323"/>
      <c r="AN415" s="323">
        <f>IF(E415="Angiv ikke",0,((1+H415)*VLOOKUP(B415&amp;"_"&amp;E415,'LCA data'!$B$7:$X$360,20,FALSE)*(F415*10^3)*C415))</f>
        <v>0</v>
      </c>
      <c r="AO415" s="323">
        <f>IF(J415="Angiv ikke",0,((1+M415)*VLOOKUP(B415&amp;"_"&amp;J415,'LCA data'!$B$7:$X$360,20,FALSE)*(K415*10^3)*C415))</f>
        <v>0</v>
      </c>
      <c r="AP415" s="323"/>
      <c r="AQ415" s="323"/>
      <c r="AR415" s="323">
        <f>IF(E415="Angiv ikke",0,((1+H415)*VLOOKUP(B415&amp;"_"&amp;E415,'LCA data'!$B$7:$AA$360,26,FALSE)*(F415*10^3)*C415))</f>
        <v>0</v>
      </c>
      <c r="AS415" s="323">
        <f>IF(J415="Angiv ikke",0,((1+M415)*VLOOKUP(B415&amp;"_"&amp;J415,'LCA data'!$B$7:$AA$360,26,FALSE)*(K415*10^3)*C415))</f>
        <v>0</v>
      </c>
      <c r="AT415" s="323"/>
      <c r="AU415" s="323"/>
      <c r="AV415" s="323"/>
      <c r="AW415" s="323"/>
      <c r="AX415" s="323"/>
      <c r="AY415" s="323"/>
      <c r="AZ415" s="323"/>
      <c r="BA415" s="323"/>
      <c r="BB415" s="323"/>
      <c r="BC415" s="323"/>
      <c r="BD415" s="323"/>
      <c r="BE415" s="323"/>
      <c r="BF415" s="323"/>
      <c r="BG415" s="323"/>
      <c r="BH415" s="323"/>
      <c r="BI415" s="323"/>
      <c r="BJ415" s="323"/>
      <c r="BK415" s="323"/>
      <c r="BL415" s="323"/>
      <c r="BM415" s="323"/>
      <c r="BN415" s="323"/>
      <c r="BO415" s="323"/>
      <c r="BP415" s="323"/>
      <c r="BQ415" s="323"/>
      <c r="BR415" s="323"/>
      <c r="BS415" s="323"/>
      <c r="BT415" s="323"/>
      <c r="BU415" s="323"/>
      <c r="BV415" s="323"/>
      <c r="BW415" s="323"/>
      <c r="BX415" s="323"/>
      <c r="BY415" s="323"/>
      <c r="BZ415" s="323"/>
      <c r="CA415" s="323"/>
      <c r="CB415" s="323"/>
      <c r="CC415" s="323"/>
      <c r="CD415" s="323"/>
      <c r="CE415" s="323"/>
      <c r="CF415" s="323"/>
      <c r="CG415" s="323"/>
      <c r="CH415" s="323"/>
      <c r="CI415" s="323"/>
      <c r="CJ415" s="323"/>
      <c r="CK415" s="323"/>
      <c r="CL415" s="323"/>
      <c r="CM415" s="323"/>
      <c r="CN415" s="323"/>
      <c r="CO415" s="323"/>
      <c r="CP415" s="439"/>
      <c r="CQ415" s="440"/>
      <c r="CR415" s="323"/>
      <c r="CS415" s="323"/>
      <c r="CT415" s="323"/>
      <c r="CU415" s="323"/>
      <c r="CV415" s="323"/>
      <c r="CW415" s="323"/>
      <c r="CX415" s="323"/>
      <c r="CY415" s="323"/>
      <c r="CZ415" s="323"/>
    </row>
    <row r="416" spans="2:222" ht="40.4" customHeight="1" outlineLevel="1" x14ac:dyDescent="0.35">
      <c r="B416" s="205" t="str">
        <f>'LCA data'!$B$138</f>
        <v>Etagedæk</v>
      </c>
      <c r="C416" s="465">
        <f t="shared" si="25"/>
        <v>0</v>
      </c>
      <c r="D416" s="169" t="s">
        <v>103</v>
      </c>
      <c r="E416" s="342" t="str">
        <f>IF($D$413=$D$82,D416,VLOOKUP(B416,Auto_Etagedæk[],VLOOKUP($D$413,Type_Tung_Middel_Let[],2,0),0))</f>
        <v>Angiv ikke</v>
      </c>
      <c r="F416" s="172">
        <f>VLOOKUP(E416,Pris.Etagedæk[],4,0)/1000</f>
        <v>0</v>
      </c>
      <c r="G416" s="350"/>
      <c r="H416" s="351" t="str">
        <f>IFERROR(IF(VLOOKUP(B416&amp;"_"&amp;E416,'LCA data'!$B$7:$X$360,2,FALSE)&lt;$Y$24,1,0)+IF(VLOOKUP(B416&amp;"_"&amp;E416,'LCA data'!$B$7:$X$360,2,FALSE)*2&lt;$Y$24,1,0),"")</f>
        <v/>
      </c>
      <c r="I416" s="169" t="s">
        <v>103</v>
      </c>
      <c r="J416" s="342" t="str">
        <f>IF($I$413=$D$82,I416,VLOOKUP(B416,Auto_Etagedæk[],VLOOKUP($I$413,Type_Tung_Middel_Let[],2,0),0))</f>
        <v>Angiv ikke</v>
      </c>
      <c r="K416" s="172">
        <f>VLOOKUP(J416,Pris.Etagedæk[],4,0)/1000</f>
        <v>0</v>
      </c>
      <c r="L416" s="514"/>
      <c r="M416" s="515" t="str">
        <f>IFERROR(IF(VLOOKUP(B416&amp;"_"&amp;J416,'LCA data'!$B$7:$X$360,2,FALSE)&lt;$Y$24,1,0)+IF(VLOOKUP(B416&amp;"_"&amp;J416,'LCA data'!$B$7:$X$360,2,FALSE)*2&lt;$Y$24,1,0),"")</f>
        <v/>
      </c>
      <c r="N416" s="206">
        <f>W416/1000</f>
        <v>0</v>
      </c>
      <c r="O416" s="878"/>
      <c r="P416" s="207">
        <f>X416/1000</f>
        <v>0</v>
      </c>
      <c r="Q416" s="889"/>
      <c r="R416" s="192"/>
      <c r="S416" s="196"/>
      <c r="U416" s="251"/>
      <c r="V416" s="251"/>
      <c r="W416" s="323">
        <f>IF(E416="Angiv ikke",0,((1+H416)*VLOOKUP(B416&amp;"_"&amp;E416,'LCA data'!$B$7:$X$360,19,FALSE)*(F416*10^3)*C416))</f>
        <v>0</v>
      </c>
      <c r="X416" s="323">
        <f>IF(J416="Angiv ikke",0,((1+M416)*VLOOKUP(B416&amp;"_"&amp;J416,'LCA data'!$B$7:$X$360,19,FALSE)*(K416*10^3)*C416))</f>
        <v>0</v>
      </c>
      <c r="Y416" s="323"/>
      <c r="Z416" s="323"/>
      <c r="AA416" s="323"/>
      <c r="AB416" s="323"/>
      <c r="AC416" s="323"/>
      <c r="AD416" s="323"/>
      <c r="AE416" s="323"/>
      <c r="AF416" s="323"/>
      <c r="AG416" s="323"/>
      <c r="AH416" s="323"/>
      <c r="AI416" s="323"/>
      <c r="AJ416" s="323"/>
      <c r="AK416" s="323"/>
      <c r="AL416" s="323"/>
      <c r="AM416" s="323"/>
      <c r="AN416" s="323">
        <f>IF(E416="Angiv ikke",0,((1+H416)*VLOOKUP(B416&amp;"_"&amp;E416,'LCA data'!$B$7:$X$360,20,FALSE)*(F416*10^3)*C416))</f>
        <v>0</v>
      </c>
      <c r="AO416" s="323">
        <f>IF(J416="Angiv ikke",0,((1+M416)*VLOOKUP(B416&amp;"_"&amp;J416,'LCA data'!$B$7:$X$360,20,FALSE)*(K416*10^3)*C416))</f>
        <v>0</v>
      </c>
      <c r="AP416" s="323"/>
      <c r="AQ416" s="323"/>
      <c r="AR416" s="323">
        <f>IF(E416="Angiv ikke",0,((1+H416)*VLOOKUP(B416&amp;"_"&amp;E416,'LCA data'!$B$7:$AA$360,26,FALSE)*(F416*10^3)*C416))</f>
        <v>0</v>
      </c>
      <c r="AS416" s="323">
        <f>IF(J416="Angiv ikke",0,((1+M416)*VLOOKUP(B416&amp;"_"&amp;J416,'LCA data'!$B$7:$AA$360,26,FALSE)*(K416*10^3)*C416))</f>
        <v>0</v>
      </c>
      <c r="AT416" s="323"/>
      <c r="AU416" s="323"/>
      <c r="AV416" s="323"/>
      <c r="AW416" s="323"/>
      <c r="AX416" s="323"/>
      <c r="AY416" s="323"/>
      <c r="AZ416" s="323"/>
      <c r="BA416" s="323"/>
      <c r="BB416" s="323"/>
      <c r="BC416" s="323"/>
      <c r="BD416" s="323"/>
      <c r="BE416" s="323"/>
      <c r="BF416" s="323"/>
      <c r="BG416" s="323"/>
      <c r="BH416" s="323"/>
      <c r="BI416" s="323"/>
      <c r="BJ416" s="323"/>
      <c r="BK416" s="323"/>
      <c r="BL416" s="323"/>
      <c r="BM416" s="323"/>
      <c r="BN416" s="323"/>
      <c r="BO416" s="323"/>
      <c r="BP416" s="323"/>
      <c r="BQ416" s="323"/>
      <c r="BR416" s="323"/>
      <c r="BS416" s="323"/>
      <c r="BT416" s="323"/>
      <c r="BU416" s="323"/>
      <c r="BV416" s="323"/>
      <c r="BW416" s="323"/>
      <c r="BX416" s="323"/>
      <c r="BY416" s="323"/>
      <c r="BZ416" s="323"/>
      <c r="CA416" s="323"/>
      <c r="CB416" s="323"/>
      <c r="CC416" s="323"/>
      <c r="CD416" s="323"/>
      <c r="CE416" s="323"/>
      <c r="CF416" s="323"/>
      <c r="CG416" s="323"/>
      <c r="CH416" s="323"/>
      <c r="CI416" s="323"/>
      <c r="CJ416" s="323"/>
      <c r="CK416" s="323"/>
      <c r="CL416" s="323"/>
      <c r="CM416" s="323"/>
      <c r="CN416" s="323"/>
      <c r="CO416" s="323"/>
      <c r="CP416" s="439"/>
      <c r="CQ416" s="440"/>
      <c r="CR416" s="323"/>
      <c r="CS416" s="323"/>
      <c r="CT416" s="323"/>
      <c r="CU416" s="323"/>
      <c r="CV416" s="323"/>
      <c r="CW416" s="323"/>
      <c r="CX416" s="323"/>
      <c r="CY416" s="323"/>
      <c r="CZ416" s="323"/>
    </row>
    <row r="417" spans="2:222" ht="40.4" customHeight="1" outlineLevel="1" thickBot="1" x14ac:dyDescent="0.4">
      <c r="B417" s="209" t="str">
        <f>$B$145</f>
        <v>Loftsbeklædning</v>
      </c>
      <c r="C417" s="464">
        <f t="shared" si="25"/>
        <v>0</v>
      </c>
      <c r="D417" s="171" t="s">
        <v>103</v>
      </c>
      <c r="E417" s="344" t="str">
        <f>IF($D$413=$D$82,D417,VLOOKUP(B417,Auto_Etagedæk[],VLOOKUP($D$413,Type_Tung_Middel_Let[],2,0),0))</f>
        <v>Angiv ikke</v>
      </c>
      <c r="F417" s="474">
        <f>(VLOOKUP(E417,Pris.loft.beklædning[],4,0))/1000</f>
        <v>0</v>
      </c>
      <c r="G417" s="354"/>
      <c r="H417" s="355" t="str">
        <f>IFERROR(IF(VLOOKUP(B417&amp;"_"&amp;E417,'LCA data'!$B$7:$X$200,2,FALSE)&lt;$Y$24,1,0)+IF(VLOOKUP(B417&amp;"_"&amp;E417,'LCA data'!$B$7:$X$200,2,FALSE)*2&lt;$Y$24,1,0),"")</f>
        <v/>
      </c>
      <c r="I417" s="171" t="s">
        <v>103</v>
      </c>
      <c r="J417" s="344" t="str">
        <f>IF($I$413=$D$82,I417,VLOOKUP(B417,Auto_Etagedæk[],VLOOKUP($I$413,Type_Tung_Middel_Let[],2,0),0))</f>
        <v>Angiv ikke</v>
      </c>
      <c r="K417" s="522">
        <f>(VLOOKUP(J417,Pris.loft.beklædning[],4,0))/1000</f>
        <v>0</v>
      </c>
      <c r="L417" s="519"/>
      <c r="M417" s="520" t="str">
        <f>IFERROR(IF(VLOOKUP(B417&amp;"_"&amp;J417,'LCA data'!$B$7:$X$200,2,FALSE)&lt;$Y$24,1,0)+IF(VLOOKUP(B417&amp;"_"&amp;J417,'LCA data'!$B$7:$X$200,2,FALSE)*2&lt;$Y$24,1,0),"")</f>
        <v/>
      </c>
      <c r="N417" s="210">
        <f>W417/1000</f>
        <v>0</v>
      </c>
      <c r="O417" s="879"/>
      <c r="P417" s="211">
        <f>X417/1000</f>
        <v>0</v>
      </c>
      <c r="Q417" s="890"/>
      <c r="R417" s="212"/>
      <c r="S417" s="213"/>
      <c r="U417" s="251"/>
      <c r="V417" s="251"/>
      <c r="W417" s="323">
        <f>IF(E417="Angiv ikke",0,((1+H417)*VLOOKUP(B417&amp;"_"&amp;E417,'LCA data'!$B$7:$X$360,19,FALSE)*(F417*10^3)*C417))</f>
        <v>0</v>
      </c>
      <c r="X417" s="323">
        <f>IF(J417="Angiv ikke",0,((1+M417)*VLOOKUP(B417&amp;"_"&amp;J417,'LCA data'!$B$7:$X$360,19,FALSE)*(K417*10^3)*C417))</f>
        <v>0</v>
      </c>
      <c r="Y417" s="323"/>
      <c r="Z417" s="323"/>
      <c r="AA417" s="323"/>
      <c r="AB417" s="323"/>
      <c r="AC417" s="323"/>
      <c r="AD417" s="323"/>
      <c r="AE417" s="323"/>
      <c r="AF417" s="323"/>
      <c r="AG417" s="323"/>
      <c r="AH417" s="323"/>
      <c r="AI417" s="323"/>
      <c r="AJ417" s="323"/>
      <c r="AK417" s="323"/>
      <c r="AL417" s="323"/>
      <c r="AM417" s="323"/>
      <c r="AN417" s="323">
        <f>IF(E417="Angiv ikke",0,((1+H417)*VLOOKUP(B417&amp;"_"&amp;E417,'LCA data'!$B$7:$X$360,20,FALSE)*(F417*10^3)*C417))</f>
        <v>0</v>
      </c>
      <c r="AO417" s="323">
        <f>IF(J417="Angiv ikke",0,((1+M417)*VLOOKUP(B417&amp;"_"&amp;J417,'LCA data'!$B$7:$X$360,20,FALSE)*(K417*10^3)*C417))</f>
        <v>0</v>
      </c>
      <c r="AP417" s="323"/>
      <c r="AQ417" s="323"/>
      <c r="AR417" s="323">
        <f>IF(E417="Angiv ikke",0,((1+H417)*VLOOKUP(B417&amp;"_"&amp;E417,'LCA data'!$B$7:$AA$360,26,FALSE)*(F417*10^3)*C417))</f>
        <v>0</v>
      </c>
      <c r="AS417" s="323">
        <f>IF(J417="Angiv ikke",0,((1+M417)*VLOOKUP(B417&amp;"_"&amp;J417,'LCA data'!$B$7:$AA$360,26,FALSE)*(K417*10^3)*C417))</f>
        <v>0</v>
      </c>
      <c r="AT417" s="323"/>
      <c r="AU417" s="323"/>
      <c r="AV417" s="323"/>
      <c r="AW417" s="323"/>
      <c r="AX417" s="323"/>
      <c r="AY417" s="323"/>
      <c r="AZ417" s="323"/>
      <c r="BA417" s="323"/>
      <c r="BB417" s="323"/>
      <c r="BC417" s="323"/>
      <c r="BD417" s="323"/>
      <c r="BE417" s="323"/>
      <c r="BF417" s="323"/>
      <c r="BG417" s="323"/>
      <c r="BH417" s="323"/>
      <c r="BI417" s="323"/>
      <c r="BJ417" s="323"/>
      <c r="BK417" s="323"/>
      <c r="BL417" s="323"/>
      <c r="BM417" s="323"/>
      <c r="BN417" s="323"/>
      <c r="BO417" s="323"/>
      <c r="BP417" s="323"/>
      <c r="BQ417" s="323"/>
      <c r="BR417" s="323"/>
      <c r="BS417" s="323"/>
      <c r="BT417" s="323"/>
      <c r="BU417" s="323"/>
      <c r="BV417" s="323"/>
      <c r="BW417" s="323"/>
      <c r="BX417" s="323"/>
      <c r="BY417" s="323"/>
      <c r="BZ417" s="323"/>
      <c r="CA417" s="323"/>
      <c r="CB417" s="323"/>
      <c r="CC417" s="323"/>
      <c r="CD417" s="323"/>
      <c r="CE417" s="323"/>
      <c r="CF417" s="323"/>
      <c r="CG417" s="323"/>
      <c r="CH417" s="323"/>
      <c r="CI417" s="323"/>
      <c r="CJ417" s="323"/>
      <c r="CK417" s="323"/>
      <c r="CL417" s="323"/>
      <c r="CM417" s="323"/>
      <c r="CN417" s="323"/>
      <c r="CO417" s="323"/>
      <c r="CP417" s="428"/>
      <c r="CQ417" s="441"/>
      <c r="CR417" s="323"/>
      <c r="CS417" s="323"/>
      <c r="CT417" s="323"/>
      <c r="CU417" s="323"/>
      <c r="CV417" s="323"/>
      <c r="CW417" s="323"/>
      <c r="CX417" s="323"/>
      <c r="CY417" s="323"/>
      <c r="CZ417" s="323"/>
    </row>
    <row r="418" spans="2:222" ht="17.149999999999999" customHeight="1" outlineLevel="1" x14ac:dyDescent="0.35">
      <c r="B418" s="173" t="s">
        <v>130</v>
      </c>
      <c r="C418" s="217"/>
      <c r="E418" s="217"/>
      <c r="F418" s="217"/>
      <c r="G418" s="217"/>
      <c r="H418" s="217"/>
      <c r="J418" s="217"/>
      <c r="K418" s="217"/>
      <c r="L418" s="217"/>
      <c r="M418" s="217"/>
      <c r="N418" s="217"/>
      <c r="O418" s="217"/>
      <c r="P418" s="217"/>
      <c r="Q418" s="217"/>
      <c r="R418" s="217"/>
      <c r="U418" s="251"/>
      <c r="V418" s="251"/>
      <c r="W418" s="323">
        <f>IFERROR(IF(OR(E418="Angiv ikke",J418="Angiv ikke"),0,(VLOOKUP(B418&amp;"_"&amp;J418,'LCA data'!$B$7:$X$2106,19,FALSE)+M418*VLOOKUP(B418&amp;"_"&amp;J418,'LCA data'!$B$7:$X$2106,19,FALSE))*(K418*10^3)*C418),0)</f>
        <v>0</v>
      </c>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c r="BN418" s="323"/>
      <c r="BO418" s="323"/>
      <c r="BP418" s="323"/>
      <c r="BQ418" s="323"/>
      <c r="BR418" s="323"/>
      <c r="BS418" s="323"/>
      <c r="BT418" s="323"/>
      <c r="BU418" s="323"/>
      <c r="BV418" s="323"/>
      <c r="BW418" s="323"/>
      <c r="BX418" s="323"/>
      <c r="BY418" s="323"/>
      <c r="BZ418" s="323"/>
      <c r="CA418" s="323"/>
      <c r="CB418" s="323"/>
      <c r="CC418" s="323"/>
      <c r="CD418" s="323"/>
      <c r="CE418" s="323"/>
      <c r="CF418" s="323"/>
      <c r="CG418" s="323"/>
      <c r="CH418" s="323"/>
      <c r="CI418" s="323"/>
      <c r="CJ418" s="323"/>
      <c r="CK418" s="323"/>
      <c r="CL418" s="323"/>
      <c r="CM418" s="323"/>
      <c r="CN418" s="323"/>
      <c r="CO418" s="323"/>
      <c r="CP418" s="439"/>
      <c r="CQ418" s="446"/>
      <c r="CR418" s="323"/>
      <c r="CS418" s="323"/>
      <c r="CT418" s="323"/>
      <c r="CU418" s="323"/>
      <c r="CV418" s="323"/>
      <c r="CW418" s="323"/>
      <c r="CX418" s="323"/>
      <c r="CY418" s="323"/>
      <c r="CZ418" s="323"/>
    </row>
    <row r="419" spans="2:222" ht="17.149999999999999" customHeight="1" x14ac:dyDescent="0.35">
      <c r="B419" s="542"/>
      <c r="C419" s="558"/>
      <c r="D419" s="542"/>
      <c r="E419" s="558"/>
      <c r="F419" s="558"/>
      <c r="G419" s="558"/>
      <c r="H419" s="558"/>
      <c r="I419" s="542"/>
      <c r="J419" s="558"/>
      <c r="K419" s="558"/>
      <c r="L419" s="558"/>
      <c r="M419" s="558"/>
      <c r="N419" s="217"/>
      <c r="O419" s="217"/>
      <c r="P419" s="217"/>
      <c r="Q419" s="217"/>
      <c r="R419" s="217"/>
      <c r="U419" s="251"/>
      <c r="V419" s="251"/>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c r="BN419" s="323"/>
      <c r="BO419" s="323"/>
      <c r="BP419" s="323"/>
      <c r="BQ419" s="323"/>
      <c r="BR419" s="323"/>
      <c r="BS419" s="323"/>
      <c r="BT419" s="323"/>
      <c r="BU419" s="323"/>
      <c r="BV419" s="323"/>
      <c r="BW419" s="323"/>
      <c r="BX419" s="323"/>
      <c r="BY419" s="323"/>
      <c r="BZ419" s="323"/>
      <c r="CA419" s="323"/>
      <c r="CB419" s="323"/>
      <c r="CC419" s="323"/>
      <c r="CD419" s="323"/>
      <c r="CE419" s="323"/>
      <c r="CF419" s="323"/>
      <c r="CG419" s="323"/>
      <c r="CH419" s="323"/>
      <c r="CI419" s="323"/>
      <c r="CJ419" s="323"/>
      <c r="CK419" s="323"/>
      <c r="CL419" s="323"/>
      <c r="CM419" s="323"/>
      <c r="CN419" s="323"/>
      <c r="CO419" s="323"/>
      <c r="CP419" s="439"/>
      <c r="CQ419" s="440"/>
      <c r="CR419" s="323"/>
      <c r="CS419" s="323"/>
      <c r="CT419" s="323"/>
      <c r="CU419" s="323"/>
      <c r="CV419" s="323"/>
      <c r="CW419" s="323"/>
      <c r="CX419" s="323"/>
      <c r="CY419" s="323"/>
      <c r="CZ419" s="323"/>
    </row>
    <row r="420" spans="2:222" ht="29.25" hidden="1" customHeight="1" outlineLevel="1" x14ac:dyDescent="0.7">
      <c r="B420" s="493" t="s">
        <v>112</v>
      </c>
      <c r="C420" s="506"/>
      <c r="D420" s="506"/>
      <c r="E420" s="506" t="s">
        <v>39</v>
      </c>
      <c r="F420" s="499"/>
      <c r="G420" s="499"/>
      <c r="H420" s="499"/>
      <c r="I420" s="500" t="str">
        <f>"Etagedæk"&amp;" "&amp;3</f>
        <v>Etagedæk 3</v>
      </c>
      <c r="J420" s="500"/>
      <c r="K420" s="499"/>
      <c r="L420" s="499"/>
      <c r="M420" s="499"/>
      <c r="N420" s="499"/>
      <c r="O420" s="499"/>
      <c r="P420" s="499"/>
      <c r="Q420" s="501"/>
      <c r="R420" s="409"/>
      <c r="S420" s="191"/>
      <c r="U420" s="251"/>
      <c r="V420" s="251"/>
      <c r="W420" s="323">
        <f>IF(D423=$D$82,1,0)</f>
        <v>1</v>
      </c>
      <c r="X420" s="323">
        <f>IF(I423=$D$82,1,0)</f>
        <v>1</v>
      </c>
      <c r="Y420" s="323"/>
      <c r="Z420" s="323"/>
      <c r="AA420" s="323"/>
      <c r="AB420" s="323"/>
      <c r="AC420" s="323"/>
      <c r="AD420" s="323"/>
      <c r="AE420" s="323"/>
      <c r="AF420" s="323"/>
      <c r="AG420" s="323"/>
      <c r="AH420" s="323"/>
      <c r="AI420" s="323"/>
      <c r="AJ420" s="323" t="s">
        <v>746</v>
      </c>
      <c r="AK420" s="323" t="s">
        <v>747</v>
      </c>
      <c r="AL420" s="323"/>
      <c r="AM420" s="323"/>
      <c r="AN420" s="323" t="s">
        <v>846</v>
      </c>
      <c r="AO420" s="323"/>
      <c r="AP420" s="323"/>
      <c r="AQ420" s="323"/>
      <c r="AR420" s="323" t="s">
        <v>851</v>
      </c>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c r="BN420" s="323"/>
      <c r="BO420" s="323"/>
      <c r="BP420" s="323"/>
      <c r="BQ420" s="323"/>
      <c r="BR420" s="323"/>
      <c r="BS420" s="323"/>
      <c r="BT420" s="323"/>
      <c r="BU420" s="323"/>
      <c r="BV420" s="323"/>
      <c r="BW420" s="323"/>
      <c r="BX420" s="323"/>
      <c r="BY420" s="323"/>
      <c r="BZ420" s="323"/>
      <c r="CA420" s="323"/>
      <c r="CB420" s="323"/>
      <c r="CC420" s="323"/>
      <c r="CD420" s="323"/>
      <c r="CE420" s="323"/>
      <c r="CF420" s="323"/>
      <c r="CG420" s="323"/>
      <c r="CH420" s="323"/>
      <c r="CI420" s="323"/>
      <c r="CJ420" s="323"/>
      <c r="CK420" s="323"/>
      <c r="CL420" s="323"/>
      <c r="CM420" s="323"/>
      <c r="CN420" s="323"/>
      <c r="CO420" s="323"/>
      <c r="CP420" s="447"/>
      <c r="CQ420" s="448"/>
      <c r="CR420" s="323"/>
      <c r="CS420" s="323"/>
      <c r="CT420" s="323"/>
      <c r="CU420" s="323"/>
      <c r="CV420" s="323"/>
      <c r="CW420" s="323"/>
      <c r="CX420" s="323"/>
      <c r="CY420" s="323"/>
      <c r="CZ420" s="323"/>
    </row>
    <row r="421" spans="2:222" ht="40.4" hidden="1" customHeight="1" outlineLevel="1" x14ac:dyDescent="0.35">
      <c r="B421" s="359" t="s">
        <v>78</v>
      </c>
      <c r="C421" s="195" t="s">
        <v>80</v>
      </c>
      <c r="D421" s="910" t="s">
        <v>4</v>
      </c>
      <c r="E421" s="911"/>
      <c r="F421" s="911"/>
      <c r="G421" s="911"/>
      <c r="H421" s="912"/>
      <c r="I421" s="885" t="s">
        <v>5</v>
      </c>
      <c r="J421" s="886"/>
      <c r="K421" s="886"/>
      <c r="L421" s="886"/>
      <c r="M421" s="887"/>
      <c r="N421" s="877" t="s">
        <v>79</v>
      </c>
      <c r="O421" s="877"/>
      <c r="P421" s="877"/>
      <c r="Q421" s="881"/>
      <c r="R421" s="192"/>
      <c r="S421" s="411"/>
      <c r="T421" s="175"/>
      <c r="U421" s="251"/>
      <c r="V421" s="251"/>
      <c r="W421" s="323"/>
      <c r="X421" s="323"/>
      <c r="Y421" s="323"/>
      <c r="Z421" s="323"/>
      <c r="AA421" s="323"/>
      <c r="AB421" s="323"/>
      <c r="AC421" s="323"/>
      <c r="AD421" s="323"/>
      <c r="AE421" s="323"/>
      <c r="AF421" s="323"/>
      <c r="AG421" s="323"/>
      <c r="AH421" s="323"/>
      <c r="AI421" s="323" t="s">
        <v>338</v>
      </c>
      <c r="AJ421" s="323">
        <f>VLOOKUP(E424,Pris.gulv.belægning[],2,0)*C424</f>
        <v>0</v>
      </c>
      <c r="AK421" s="323">
        <f>VLOOKUP(J424,Pris.gulv.belægning[],2,0)*C424</f>
        <v>0</v>
      </c>
      <c r="AL421" s="323"/>
      <c r="AM421" s="323"/>
      <c r="AN421" s="323" t="s">
        <v>4</v>
      </c>
      <c r="AO421" s="323" t="s">
        <v>5</v>
      </c>
      <c r="AP421" s="323"/>
      <c r="AQ421" s="323"/>
      <c r="AR421" s="323" t="s">
        <v>4</v>
      </c>
      <c r="AS421" s="323" t="s">
        <v>5</v>
      </c>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c r="BN421" s="323"/>
      <c r="BO421" s="323"/>
      <c r="BP421" s="323"/>
      <c r="BQ421" s="323"/>
      <c r="BR421" s="323"/>
      <c r="BS421" s="323"/>
      <c r="BT421" s="323"/>
      <c r="BU421" s="323"/>
      <c r="BV421" s="323"/>
      <c r="BW421" s="323"/>
      <c r="BX421" s="323"/>
      <c r="BY421" s="323"/>
      <c r="BZ421" s="323"/>
      <c r="CA421" s="323"/>
      <c r="CB421" s="323"/>
      <c r="CC421" s="323"/>
      <c r="CD421" s="323"/>
      <c r="CE421" s="323"/>
      <c r="CF421" s="323"/>
      <c r="CG421" s="323"/>
      <c r="CH421" s="323"/>
      <c r="CI421" s="323"/>
      <c r="CJ421" s="323"/>
      <c r="CK421" s="323"/>
      <c r="CL421" s="323"/>
      <c r="CM421" s="323"/>
      <c r="CN421" s="323"/>
      <c r="CO421" s="323"/>
      <c r="CP421" s="439"/>
      <c r="CQ421" s="440"/>
      <c r="CR421" s="323"/>
      <c r="CS421" s="323"/>
      <c r="CT421" s="323"/>
      <c r="CU421" s="323"/>
      <c r="CV421" s="323"/>
      <c r="CW421" s="323"/>
      <c r="CX421" s="323"/>
      <c r="CY421" s="323"/>
      <c r="CZ421" s="323"/>
    </row>
    <row r="422" spans="2:222" ht="47.15" hidden="1" customHeight="1" outlineLevel="1" x14ac:dyDescent="0.35">
      <c r="B422" s="194"/>
      <c r="C422" s="665">
        <v>0</v>
      </c>
      <c r="D422" s="908" t="s">
        <v>797</v>
      </c>
      <c r="E422" s="909"/>
      <c r="F422" s="338" t="s">
        <v>82</v>
      </c>
      <c r="G422" s="338"/>
      <c r="H422" s="346" t="s">
        <v>84</v>
      </c>
      <c r="I422" s="913" t="s">
        <v>797</v>
      </c>
      <c r="J422" s="914"/>
      <c r="K422" s="479" t="s">
        <v>82</v>
      </c>
      <c r="L422" s="479"/>
      <c r="M422" s="508" t="s">
        <v>84</v>
      </c>
      <c r="N422" s="195" t="s">
        <v>4</v>
      </c>
      <c r="O422" s="195" t="s">
        <v>85</v>
      </c>
      <c r="P422" s="195" t="s">
        <v>5</v>
      </c>
      <c r="Q422" s="357" t="s">
        <v>86</v>
      </c>
      <c r="R422" s="192"/>
      <c r="S422" s="193"/>
      <c r="U422" s="251"/>
      <c r="V422" s="251"/>
      <c r="W422" s="323" t="s">
        <v>87</v>
      </c>
      <c r="X422" s="323" t="s">
        <v>88</v>
      </c>
      <c r="Y422" s="323"/>
      <c r="Z422" s="323"/>
      <c r="AA422" s="323" t="s">
        <v>91</v>
      </c>
      <c r="AB422" s="323"/>
      <c r="AC422" s="323"/>
      <c r="AD422" s="323"/>
      <c r="AE422" s="323" t="s">
        <v>92</v>
      </c>
      <c r="AF422" s="323"/>
      <c r="AG422" s="323"/>
      <c r="AH422" s="323"/>
      <c r="AI422" s="323" t="str">
        <f>'LCA data'!$B$32</f>
        <v>Isolering</v>
      </c>
      <c r="AJ422" s="323">
        <f>VLOOKUP(E425,Pris.isolering[],2,0)*F425*C425</f>
        <v>0</v>
      </c>
      <c r="AK422" s="323">
        <f>VLOOKUP(J425,Pris.isolering[],2,0)*K425*C425</f>
        <v>0</v>
      </c>
      <c r="AL422" s="323"/>
      <c r="AM422" s="323"/>
      <c r="AN422" s="323">
        <f>SUM(AN424:AN428)</f>
        <v>0</v>
      </c>
      <c r="AO422" s="323">
        <f>SUM(AO424:AO428)</f>
        <v>0</v>
      </c>
      <c r="AP422" s="323"/>
      <c r="AQ422" s="323"/>
      <c r="AR422" s="323">
        <f>SUM(AR424:AR427)</f>
        <v>0</v>
      </c>
      <c r="AS422" s="323">
        <f>SUM(AS424:AS427)</f>
        <v>0</v>
      </c>
      <c r="AT422" s="323"/>
      <c r="AU422" s="323"/>
      <c r="AV422" s="323"/>
      <c r="AW422" s="323"/>
      <c r="AX422" s="323"/>
      <c r="AY422" s="323"/>
      <c r="AZ422" s="323"/>
      <c r="BA422" s="323"/>
      <c r="BB422" s="323"/>
      <c r="BC422" s="323"/>
      <c r="BD422" s="323"/>
      <c r="BE422" s="323"/>
      <c r="BF422" s="323"/>
      <c r="BG422" s="323"/>
      <c r="BH422" s="323"/>
      <c r="BI422" s="323"/>
      <c r="BJ422" s="323"/>
      <c r="BK422" s="323"/>
      <c r="BL422" s="323"/>
      <c r="BM422" s="323"/>
      <c r="BN422" s="323"/>
      <c r="BO422" s="323"/>
      <c r="BP422" s="323"/>
      <c r="BQ422" s="323"/>
      <c r="BR422" s="323"/>
      <c r="BS422" s="323"/>
      <c r="BT422" s="323"/>
      <c r="BU422" s="323"/>
      <c r="BV422" s="323"/>
      <c r="BW422" s="323"/>
      <c r="BX422" s="323"/>
      <c r="BY422" s="323"/>
      <c r="BZ422" s="323"/>
      <c r="CA422" s="323"/>
      <c r="CB422" s="323"/>
      <c r="CC422" s="323"/>
      <c r="CD422" s="323"/>
      <c r="CE422" s="323"/>
      <c r="CF422" s="323"/>
      <c r="CG422" s="323"/>
      <c r="CH422" s="323"/>
      <c r="CI422" s="323"/>
      <c r="CJ422" s="323"/>
      <c r="CK422" s="323"/>
      <c r="CL422" s="323"/>
      <c r="CM422" s="323"/>
      <c r="CN422" s="323"/>
      <c r="CO422" s="323"/>
      <c r="CP422" s="439"/>
      <c r="CQ422" s="440"/>
      <c r="CR422" s="323"/>
      <c r="CS422" s="323"/>
      <c r="CT422" s="323"/>
      <c r="CU422" s="323"/>
      <c r="CV422" s="323"/>
      <c r="CW422" s="323"/>
      <c r="CX422" s="323"/>
      <c r="CY422" s="323"/>
      <c r="CZ422" s="323"/>
    </row>
    <row r="423" spans="2:222" s="198" customFormat="1" ht="26" hidden="1" customHeight="1" outlineLevel="1" x14ac:dyDescent="0.35">
      <c r="B423" s="199"/>
      <c r="C423" s="200" t="s">
        <v>93</v>
      </c>
      <c r="D423" s="915" t="s">
        <v>811</v>
      </c>
      <c r="E423" s="915"/>
      <c r="F423" s="347" t="s">
        <v>94</v>
      </c>
      <c r="G423" s="348"/>
      <c r="H423" s="349" t="s">
        <v>96</v>
      </c>
      <c r="I423" s="915" t="s">
        <v>811</v>
      </c>
      <c r="J423" s="915"/>
      <c r="K423" s="510" t="s">
        <v>94</v>
      </c>
      <c r="L423" s="511"/>
      <c r="M423" s="512" t="s">
        <v>96</v>
      </c>
      <c r="N423" s="201" t="s">
        <v>97</v>
      </c>
      <c r="O423" s="201" t="s">
        <v>97</v>
      </c>
      <c r="P423" s="201" t="s">
        <v>97</v>
      </c>
      <c r="Q423" s="358" t="s">
        <v>97</v>
      </c>
      <c r="R423" s="192"/>
      <c r="S423" s="196"/>
      <c r="T423" s="204"/>
      <c r="U423" s="325"/>
      <c r="V423" s="325"/>
      <c r="W423" s="323">
        <f>SUM(W424:W428)</f>
        <v>0</v>
      </c>
      <c r="X423" s="323">
        <f>SUM(X424:X428)</f>
        <v>0</v>
      </c>
      <c r="Y423" s="323"/>
      <c r="Z423" s="323"/>
      <c r="AA423" s="323"/>
      <c r="AB423" s="323" t="s">
        <v>111</v>
      </c>
      <c r="AC423" s="323"/>
      <c r="AD423" s="323" t="s">
        <v>99</v>
      </c>
      <c r="AE423" s="323" t="s">
        <v>100</v>
      </c>
      <c r="AF423" s="323"/>
      <c r="AG423" s="323"/>
      <c r="AH423" s="323"/>
      <c r="AI423" s="323" t="s">
        <v>41</v>
      </c>
      <c r="AJ423" s="323">
        <f>VLOOKUP(E426,Pris.Etagedæk[],2,0)*C426</f>
        <v>0</v>
      </c>
      <c r="AK423" s="323">
        <f>VLOOKUP(J426,Pris.Etagedæk[],2,0)*C426</f>
        <v>0</v>
      </c>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c r="BM423" s="323"/>
      <c r="BN423" s="323"/>
      <c r="BO423" s="323"/>
      <c r="BP423" s="323"/>
      <c r="BQ423" s="323"/>
      <c r="BR423" s="323"/>
      <c r="BS423" s="323"/>
      <c r="BT423" s="323"/>
      <c r="BU423" s="323"/>
      <c r="BV423" s="323"/>
      <c r="BW423" s="323"/>
      <c r="BX423" s="323"/>
      <c r="BY423" s="323"/>
      <c r="BZ423" s="323"/>
      <c r="CA423" s="323"/>
      <c r="CB423" s="323"/>
      <c r="CC423" s="323"/>
      <c r="CD423" s="323"/>
      <c r="CE423" s="323"/>
      <c r="CF423" s="323"/>
      <c r="CG423" s="323"/>
      <c r="CH423" s="323"/>
      <c r="CI423" s="323"/>
      <c r="CJ423" s="323"/>
      <c r="CK423" s="323"/>
      <c r="CL423" s="323"/>
      <c r="CM423" s="323"/>
      <c r="CN423" s="323"/>
      <c r="CO423" s="323"/>
      <c r="CP423" s="444"/>
      <c r="CQ423" s="440"/>
      <c r="CR423" s="323"/>
      <c r="CS423" s="323"/>
      <c r="CT423" s="323"/>
      <c r="CU423" s="323"/>
      <c r="CV423" s="323"/>
      <c r="CW423" s="323"/>
      <c r="CX423" s="323"/>
      <c r="CY423" s="323"/>
      <c r="CZ423" s="323"/>
      <c r="DA423" s="325"/>
      <c r="DB423" s="325"/>
      <c r="DC423" s="325"/>
      <c r="DD423" s="325"/>
      <c r="DE423" s="325"/>
      <c r="DF423" s="325"/>
      <c r="DG423" s="325"/>
      <c r="DH423" s="325"/>
      <c r="DI423" s="325"/>
      <c r="DJ423" s="325"/>
      <c r="DK423" s="325"/>
      <c r="DL423" s="325"/>
      <c r="DM423" s="325"/>
      <c r="DN423" s="325"/>
      <c r="DO423" s="325"/>
      <c r="DP423" s="325"/>
      <c r="DQ423" s="325"/>
      <c r="DR423" s="325"/>
      <c r="DS423" s="325"/>
      <c r="DT423" s="325"/>
      <c r="DU423" s="325"/>
      <c r="DV423" s="325"/>
      <c r="DW423" s="325"/>
      <c r="DX423" s="325"/>
      <c r="DY423" s="325"/>
      <c r="DZ423" s="325"/>
      <c r="EA423" s="325"/>
      <c r="EB423" s="325"/>
      <c r="EC423" s="325"/>
      <c r="ED423" s="325"/>
      <c r="EE423" s="325"/>
      <c r="EF423" s="325"/>
      <c r="EG423" s="325"/>
      <c r="EH423" s="325"/>
      <c r="EI423" s="325"/>
      <c r="EJ423" s="325"/>
      <c r="EK423" s="325"/>
      <c r="EL423" s="325"/>
      <c r="EM423" s="325"/>
      <c r="EN423" s="325"/>
      <c r="EO423" s="325"/>
      <c r="EP423" s="325"/>
      <c r="EQ423" s="325"/>
      <c r="ER423" s="325"/>
      <c r="ES423" s="325"/>
      <c r="ET423" s="325"/>
      <c r="EU423" s="325"/>
      <c r="EV423" s="325"/>
      <c r="EW423" s="325"/>
      <c r="EX423" s="325"/>
      <c r="EY423" s="325"/>
      <c r="EZ423" s="325"/>
      <c r="FA423" s="325"/>
      <c r="FB423" s="325"/>
      <c r="FC423" s="325"/>
      <c r="FD423" s="325"/>
      <c r="FE423" s="325"/>
      <c r="FF423" s="325"/>
      <c r="FG423" s="325"/>
      <c r="FH423" s="325"/>
      <c r="FI423" s="325"/>
      <c r="FJ423" s="325"/>
      <c r="FK423" s="325"/>
      <c r="FL423" s="325"/>
      <c r="FM423" s="325"/>
      <c r="FN423" s="325"/>
      <c r="FO423" s="325"/>
      <c r="FP423" s="325"/>
      <c r="FQ423" s="325"/>
      <c r="FR423" s="325"/>
      <c r="FS423" s="325"/>
      <c r="FT423" s="325"/>
      <c r="FU423" s="325"/>
      <c r="FV423" s="325"/>
      <c r="FW423" s="325"/>
      <c r="FX423" s="325"/>
      <c r="FY423" s="325"/>
      <c r="FZ423" s="325"/>
      <c r="GA423" s="325"/>
      <c r="GB423" s="325"/>
      <c r="GC423" s="325"/>
      <c r="GD423" s="325"/>
      <c r="GE423" s="325"/>
      <c r="GF423" s="325"/>
      <c r="GG423" s="325"/>
      <c r="GH423" s="325"/>
      <c r="GI423" s="325"/>
      <c r="GJ423" s="325"/>
      <c r="GK423" s="325"/>
      <c r="GL423" s="325"/>
      <c r="GM423" s="325"/>
      <c r="GN423" s="325"/>
      <c r="GO423" s="325"/>
      <c r="GP423" s="325"/>
      <c r="GQ423" s="325"/>
      <c r="GR423" s="325"/>
      <c r="GS423" s="325"/>
      <c r="GT423" s="325"/>
      <c r="GU423" s="325"/>
      <c r="GV423" s="325"/>
      <c r="GW423" s="325"/>
      <c r="GX423" s="325"/>
      <c r="GY423" s="325"/>
      <c r="GZ423" s="325"/>
      <c r="HA423" s="325"/>
      <c r="HB423" s="325"/>
      <c r="HC423" s="325"/>
      <c r="HD423" s="325"/>
      <c r="HE423" s="325"/>
      <c r="HF423" s="325"/>
      <c r="HG423" s="325"/>
      <c r="HH423" s="325"/>
      <c r="HI423" s="325"/>
      <c r="HJ423" s="325"/>
      <c r="HK423" s="325"/>
      <c r="HL423" s="325"/>
      <c r="HM423" s="325"/>
      <c r="HN423" s="325"/>
    </row>
    <row r="424" spans="2:222" ht="40.4" hidden="1" customHeight="1" outlineLevel="1" x14ac:dyDescent="0.35">
      <c r="B424" s="363" t="str">
        <f>B222</f>
        <v>Gulvoverflade</v>
      </c>
      <c r="C424" s="465">
        <f>$C$422*$C$45</f>
        <v>0</v>
      </c>
      <c r="D424" s="15" t="s">
        <v>103</v>
      </c>
      <c r="E424" s="342" t="str">
        <f>IF($D$423=$D$82,D424,VLOOKUP(B424,Auto_Etagedæk[],VLOOKUP($D$423,Type_Tung_Middel_Let[],2,0),0))</f>
        <v>Angiv ikke</v>
      </c>
      <c r="F424" s="356">
        <f>(VLOOKUP(E424,Pris.gulv.belægning[],4,0))/1000</f>
        <v>0</v>
      </c>
      <c r="G424" s="350"/>
      <c r="H424" s="351" t="str">
        <f>IFERROR(IF(VLOOKUP(B424&amp;"_"&amp;E424,'LCA data'!$B$7:$X$200,2,FALSE)&lt;$Y$24,1,0)+IF(VLOOKUP(B424&amp;"_"&amp;E424,'LCA data'!$B$7:$X$200,2,FALSE)*2&lt;$Y$24,1,0),"")</f>
        <v/>
      </c>
      <c r="I424" s="15" t="s">
        <v>103</v>
      </c>
      <c r="J424" s="342" t="str">
        <f>IF($I$423=$D$82,I424,VLOOKUP(B424,Auto_Etagedæk[],VLOOKUP($I$423,Type_Tung_Middel_Let[],2,0),0))</f>
        <v>Angiv ikke</v>
      </c>
      <c r="K424" s="513">
        <f>(VLOOKUP(J424,Pris.gulv.belægning[],4,0))/1000</f>
        <v>0</v>
      </c>
      <c r="L424" s="514"/>
      <c r="M424" s="515" t="str">
        <f>IFERROR(IF(VLOOKUP(B424&amp;"_"&amp;J424,'LCA data'!$B$7:$X$200,2,FALSE)&lt;$Y$24,1,0)+IF(VLOOKUP(B424&amp;"_"&amp;J424,'LCA data'!$B$7:$X$200,2,FALSE)*2&lt;$Y$24,1,0),"")</f>
        <v/>
      </c>
      <c r="N424" s="364">
        <f>W424/1000</f>
        <v>0</v>
      </c>
      <c r="O424" s="880">
        <f>SUM(N424:N428)</f>
        <v>0</v>
      </c>
      <c r="P424" s="365">
        <f>X424/1000</f>
        <v>0</v>
      </c>
      <c r="Q424" s="888">
        <f>SUM(P424:P428)</f>
        <v>0</v>
      </c>
      <c r="R424" s="202"/>
      <c r="S424" s="203"/>
      <c r="U424" s="251"/>
      <c r="V424" s="251"/>
      <c r="W424" s="323">
        <f>IF(E424="Angiv ikke",0,((1+H424)*VLOOKUP(B424&amp;"_"&amp;E424,'LCA data'!$B$7:$X$360,19,FALSE)*(F424*10^3)*C424))</f>
        <v>0</v>
      </c>
      <c r="X424" s="323">
        <f>IF(J424="Angiv ikke",0,((1+M424)*VLOOKUP(B424&amp;"_"&amp;J424,'LCA data'!$B$7:$X$360,19,FALSE)*(K424*10^3)*C424))</f>
        <v>0</v>
      </c>
      <c r="Y424" s="323"/>
      <c r="Z424" s="323"/>
      <c r="AA424" s="323" t="s">
        <v>4</v>
      </c>
      <c r="AB424" s="323">
        <f>AF424/$J$21/$Y$24*1000</f>
        <v>0</v>
      </c>
      <c r="AC424" s="323"/>
      <c r="AD424" s="323">
        <f>AB424+AC424</f>
        <v>0</v>
      </c>
      <c r="AE424" s="323" t="s">
        <v>4</v>
      </c>
      <c r="AF424" s="323">
        <f>W423/1000</f>
        <v>0</v>
      </c>
      <c r="AG424" s="323"/>
      <c r="AH424" s="323"/>
      <c r="AI424" s="323" t="str">
        <f>'LCA data'!$B$105</f>
        <v>Loftsbeklædning</v>
      </c>
      <c r="AJ424" s="323">
        <f>VLOOKUP(E427,Pris.loft.beklædning[],2,0)*C427</f>
        <v>0</v>
      </c>
      <c r="AK424" s="323">
        <f>VLOOKUP(J427,Pris.loft.beklædning[],2,0)*C427</f>
        <v>0</v>
      </c>
      <c r="AL424" s="323"/>
      <c r="AM424" s="323"/>
      <c r="AN424" s="323">
        <f>IF(E424="Angiv ikke",0,((1+H424)*VLOOKUP(B424&amp;"_"&amp;E424,'LCA data'!$B$7:$X$360,20,FALSE)*(F424*10^3)*C424))</f>
        <v>0</v>
      </c>
      <c r="AO424" s="323">
        <f>IF(J424="Angiv ikke",0,((1+M424)*VLOOKUP(B424&amp;"_"&amp;J424,'LCA data'!$B$7:$X$360,20,FALSE)*(K424*10^3)*C424))</f>
        <v>0</v>
      </c>
      <c r="AP424" s="323"/>
      <c r="AQ424" s="323"/>
      <c r="AR424" s="323">
        <f>IF(E424="Angiv ikke",0,((1+H424)*VLOOKUP(B424&amp;"_"&amp;E424,'LCA data'!$B$7:$AA$360,26,FALSE)*(F424*10^3)*C424))</f>
        <v>0</v>
      </c>
      <c r="AS424" s="323">
        <f>IF(J424="Angiv ikke",0,((1+M424)*VLOOKUP(B424&amp;"_"&amp;J424,'LCA data'!$B$7:$AA$360,26,FALSE)*(K424*10^3)*C424))</f>
        <v>0</v>
      </c>
      <c r="AT424" s="323"/>
      <c r="AU424" s="323"/>
      <c r="AV424" s="323"/>
      <c r="AW424" s="323"/>
      <c r="AX424" s="323"/>
      <c r="AY424" s="323"/>
      <c r="AZ424" s="323"/>
      <c r="BA424" s="323"/>
      <c r="BB424" s="323"/>
      <c r="BC424" s="323"/>
      <c r="BD424" s="323"/>
      <c r="BE424" s="323"/>
      <c r="BF424" s="323"/>
      <c r="BG424" s="323"/>
      <c r="BH424" s="323"/>
      <c r="BI424" s="323"/>
      <c r="BJ424" s="323"/>
      <c r="BK424" s="323"/>
      <c r="BL424" s="323"/>
      <c r="BM424" s="323"/>
      <c r="BN424" s="323"/>
      <c r="BO424" s="323"/>
      <c r="BP424" s="323"/>
      <c r="BQ424" s="323"/>
      <c r="BR424" s="323"/>
      <c r="BS424" s="323"/>
      <c r="BT424" s="323"/>
      <c r="BU424" s="323"/>
      <c r="BV424" s="323"/>
      <c r="BW424" s="323"/>
      <c r="BX424" s="323"/>
      <c r="BY424" s="323"/>
      <c r="BZ424" s="323"/>
      <c r="CA424" s="323"/>
      <c r="CB424" s="323"/>
      <c r="CC424" s="323"/>
      <c r="CD424" s="323"/>
      <c r="CE424" s="323"/>
      <c r="CF424" s="323"/>
      <c r="CG424" s="323"/>
      <c r="CH424" s="323"/>
      <c r="CI424" s="323"/>
      <c r="CJ424" s="323"/>
      <c r="CK424" s="323"/>
      <c r="CL424" s="323"/>
      <c r="CM424" s="323"/>
      <c r="CN424" s="323"/>
      <c r="CO424" s="323"/>
      <c r="CP424" s="439"/>
      <c r="CQ424" s="440"/>
      <c r="CR424" s="323"/>
      <c r="CS424" s="323"/>
      <c r="CT424" s="323"/>
      <c r="CU424" s="323"/>
      <c r="CV424" s="323"/>
      <c r="CW424" s="323"/>
      <c r="CX424" s="323"/>
      <c r="CY424" s="323"/>
      <c r="CZ424" s="323"/>
    </row>
    <row r="425" spans="2:222" ht="40.4" hidden="1" customHeight="1" outlineLevel="1" x14ac:dyDescent="0.35">
      <c r="B425" s="208" t="str">
        <f>'LCA data'!$B$32</f>
        <v>Isolering</v>
      </c>
      <c r="C425" s="465">
        <f t="shared" ref="C425:C427" si="26">$C$422*$C$45</f>
        <v>0</v>
      </c>
      <c r="D425" s="168" t="s">
        <v>103</v>
      </c>
      <c r="E425" s="342" t="str">
        <f>IF($D$423=$D$82,D425,VLOOKUP(B425,Auto_Etagedæk[],VLOOKUP($D$423,Type_Tung_Middel_Let[],2,0),0))</f>
        <v>Angiv ikke</v>
      </c>
      <c r="F425" s="11">
        <v>0.15</v>
      </c>
      <c r="G425" s="353"/>
      <c r="H425" s="351" t="str">
        <f>IFERROR(IF(VLOOKUP(B425&amp;"_"&amp;E425,'LCA data'!$B$7:$X$200,2,FALSE)&lt;$Y$24,1,0)+IF(VLOOKUP(B425&amp;"_"&amp;E425,'LCA data'!$B$7:$X$200,2,FALSE)*2&lt;$Y$24,1,0),"")</f>
        <v/>
      </c>
      <c r="I425" s="168" t="s">
        <v>103</v>
      </c>
      <c r="J425" s="342" t="str">
        <f>IF($I$423=$D$82,I425,VLOOKUP(B425,Auto_Etagedæk[],VLOOKUP($I$423,Type_Tung_Middel_Let[],2,0),0))</f>
        <v>Angiv ikke</v>
      </c>
      <c r="K425" s="11">
        <v>0.15</v>
      </c>
      <c r="L425" s="528"/>
      <c r="M425" s="515" t="str">
        <f>IFERROR(IF(VLOOKUP(B425&amp;"_"&amp;J425,'LCA data'!$B$7:$X$200,2,FALSE)&lt;$Y$24,1,0)+IF(VLOOKUP(B425&amp;"_"&amp;J425,'LCA data'!$B$7:$X$200,2,FALSE)*2&lt;$Y$24,1,0),"")</f>
        <v/>
      </c>
      <c r="N425" s="206">
        <f>W425/1000</f>
        <v>0</v>
      </c>
      <c r="O425" s="878"/>
      <c r="P425" s="207">
        <f>X425/1000</f>
        <v>0</v>
      </c>
      <c r="Q425" s="889"/>
      <c r="R425" s="192"/>
      <c r="S425" s="196"/>
      <c r="U425" s="251"/>
      <c r="V425" s="251"/>
      <c r="W425" s="323">
        <f>IF(E425="Angiv ikke",0,((1+H425)*VLOOKUP(B425&amp;"_"&amp;E425,'LCA data'!$B$7:$X$360,19,FALSE)*(F425*10^3)*C425))</f>
        <v>0</v>
      </c>
      <c r="X425" s="323">
        <f>IF(J425="Angiv ikke",0,((1+M425)*VLOOKUP(B425&amp;"_"&amp;J425,'LCA data'!$B$7:$X$360,19,FALSE)*(K425*10^3)*C425))</f>
        <v>0</v>
      </c>
      <c r="Y425" s="323"/>
      <c r="Z425" s="323"/>
      <c r="AA425" s="323" t="s">
        <v>5</v>
      </c>
      <c r="AB425" s="323">
        <f>AG425/$J$21/$Y$24*1000</f>
        <v>0</v>
      </c>
      <c r="AC425" s="323"/>
      <c r="AD425" s="323">
        <f>AB425+AC425</f>
        <v>0</v>
      </c>
      <c r="AE425" s="323" t="s">
        <v>5</v>
      </c>
      <c r="AF425" s="323"/>
      <c r="AG425" s="323">
        <f>X423/1000</f>
        <v>0</v>
      </c>
      <c r="AH425" s="323"/>
      <c r="AI425" s="323" t="s">
        <v>743</v>
      </c>
      <c r="AJ425" s="323">
        <f>SUM(AJ421:AJ424)</f>
        <v>0</v>
      </c>
      <c r="AK425" s="323">
        <f>SUM(AK421:AK424)</f>
        <v>0</v>
      </c>
      <c r="AL425" s="323"/>
      <c r="AM425" s="323"/>
      <c r="AN425" s="323">
        <f>IF(E425="Angiv ikke",0,((1+H425)*VLOOKUP(B425&amp;"_"&amp;E425,'LCA data'!$B$7:$X$360,20,FALSE)*(F425*10^3)*C425))</f>
        <v>0</v>
      </c>
      <c r="AO425" s="323">
        <f>IF(J425="Angiv ikke",0,((1+M425)*VLOOKUP(B425&amp;"_"&amp;J425,'LCA data'!$B$7:$X$360,20,FALSE)*(K425*10^3)*C425))</f>
        <v>0</v>
      </c>
      <c r="AP425" s="323"/>
      <c r="AQ425" s="323"/>
      <c r="AR425" s="323">
        <f>IF(E425="Angiv ikke",0,((1+H425)*VLOOKUP(B425&amp;"_"&amp;E425,'LCA data'!$B$7:$AA$360,26,FALSE)*(F425*10^3)*C425))</f>
        <v>0</v>
      </c>
      <c r="AS425" s="323">
        <f>IF(J425="Angiv ikke",0,((1+M425)*VLOOKUP(B425&amp;"_"&amp;J425,'LCA data'!$B$7:$AA$360,26,FALSE)*(K425*10^3)*C425))</f>
        <v>0</v>
      </c>
      <c r="AT425" s="323"/>
      <c r="AU425" s="323"/>
      <c r="AV425" s="323"/>
      <c r="AW425" s="323"/>
      <c r="AX425" s="323"/>
      <c r="AY425" s="323"/>
      <c r="AZ425" s="323"/>
      <c r="BA425" s="323"/>
      <c r="BB425" s="323"/>
      <c r="BC425" s="323"/>
      <c r="BD425" s="323"/>
      <c r="BE425" s="323"/>
      <c r="BF425" s="323"/>
      <c r="BG425" s="323"/>
      <c r="BH425" s="323"/>
      <c r="BI425" s="323"/>
      <c r="BJ425" s="323"/>
      <c r="BK425" s="323"/>
      <c r="BL425" s="323"/>
      <c r="BM425" s="323"/>
      <c r="BN425" s="323"/>
      <c r="BO425" s="323"/>
      <c r="BP425" s="323"/>
      <c r="BQ425" s="323"/>
      <c r="BR425" s="323"/>
      <c r="BS425" s="323"/>
      <c r="BT425" s="323"/>
      <c r="BU425" s="323"/>
      <c r="BV425" s="323"/>
      <c r="BW425" s="323"/>
      <c r="BX425" s="323"/>
      <c r="BY425" s="323"/>
      <c r="BZ425" s="323"/>
      <c r="CA425" s="323"/>
      <c r="CB425" s="323"/>
      <c r="CC425" s="323"/>
      <c r="CD425" s="323"/>
      <c r="CE425" s="323"/>
      <c r="CF425" s="323"/>
      <c r="CG425" s="323"/>
      <c r="CH425" s="323"/>
      <c r="CI425" s="323"/>
      <c r="CJ425" s="323"/>
      <c r="CK425" s="323"/>
      <c r="CL425" s="323"/>
      <c r="CM425" s="323"/>
      <c r="CN425" s="323"/>
      <c r="CO425" s="323"/>
      <c r="CP425" s="439"/>
      <c r="CQ425" s="440"/>
      <c r="CR425" s="323"/>
      <c r="CS425" s="323"/>
      <c r="CT425" s="323"/>
      <c r="CU425" s="323"/>
      <c r="CV425" s="323"/>
      <c r="CW425" s="323"/>
      <c r="CX425" s="323"/>
      <c r="CY425" s="323"/>
      <c r="CZ425" s="323"/>
    </row>
    <row r="426" spans="2:222" ht="40.4" hidden="1" customHeight="1" outlineLevel="1" x14ac:dyDescent="0.35">
      <c r="B426" s="205" t="str">
        <f>'LCA data'!$B$138</f>
        <v>Etagedæk</v>
      </c>
      <c r="C426" s="465">
        <f t="shared" si="26"/>
        <v>0</v>
      </c>
      <c r="D426" s="169" t="s">
        <v>103</v>
      </c>
      <c r="E426" s="342" t="str">
        <f>IF($D$423=$D$82,D426,VLOOKUP(B426,Auto_Etagedæk[],VLOOKUP($D$423,Type_Tung_Middel_Let[],2,0),0))</f>
        <v>Angiv ikke</v>
      </c>
      <c r="F426" s="172">
        <f>VLOOKUP(E426,Pris.Etagedæk[],4,0)/1000</f>
        <v>0</v>
      </c>
      <c r="G426" s="350"/>
      <c r="H426" s="351" t="str">
        <f>IFERROR(IF(VLOOKUP(B426&amp;"_"&amp;E426,'LCA data'!$B$7:$X$360,2,FALSE)&lt;$Y$24,1,0)+IF(VLOOKUP(B426&amp;"_"&amp;E426,'LCA data'!$B$7:$X$360,2,FALSE)*2&lt;$Y$24,1,0),"")</f>
        <v/>
      </c>
      <c r="I426" s="169" t="s">
        <v>103</v>
      </c>
      <c r="J426" s="342" t="str">
        <f>IF($I$423=$D$82,I426,VLOOKUP(B426,Auto_Etagedæk[],VLOOKUP($I$423,Type_Tung_Middel_Let[],2,0),0))</f>
        <v>Angiv ikke</v>
      </c>
      <c r="K426" s="172">
        <f>VLOOKUP(J426,Pris.Etagedæk[],4,0)/1000</f>
        <v>0</v>
      </c>
      <c r="L426" s="514"/>
      <c r="M426" s="515" t="str">
        <f>IFERROR(IF(VLOOKUP(B426&amp;"_"&amp;J426,'LCA data'!$B$7:$X$360,2,FALSE)&lt;$Y$24,1,0)+IF(VLOOKUP(B426&amp;"_"&amp;J426,'LCA data'!$B$7:$X$360,2,FALSE)*2&lt;$Y$24,1,0),"")</f>
        <v/>
      </c>
      <c r="N426" s="206">
        <f>W426/1000</f>
        <v>0</v>
      </c>
      <c r="O426" s="878"/>
      <c r="P426" s="207">
        <f>X426/1000</f>
        <v>0</v>
      </c>
      <c r="Q426" s="889"/>
      <c r="R426" s="192"/>
      <c r="S426" s="196"/>
      <c r="U426" s="251"/>
      <c r="V426" s="251"/>
      <c r="W426" s="323">
        <f>IF(E426="Angiv ikke",0,((1+H426)*VLOOKUP(B426&amp;"_"&amp;E426,'LCA data'!$B$7:$X$360,19,FALSE)*(F426*10^3)*C426))</f>
        <v>0</v>
      </c>
      <c r="X426" s="323">
        <f>IF(J426="Angiv ikke",0,((1+M426)*VLOOKUP(B426&amp;"_"&amp;J426,'LCA data'!$B$7:$X$360,19,FALSE)*(K426*10^3)*C426))</f>
        <v>0</v>
      </c>
      <c r="Y426" s="323"/>
      <c r="Z426" s="323"/>
      <c r="AA426" s="323"/>
      <c r="AB426" s="323"/>
      <c r="AC426" s="323"/>
      <c r="AD426" s="323"/>
      <c r="AE426" s="323"/>
      <c r="AF426" s="323"/>
      <c r="AG426" s="323"/>
      <c r="AH426" s="323"/>
      <c r="AI426" s="323"/>
      <c r="AJ426" s="323"/>
      <c r="AK426" s="323"/>
      <c r="AL426" s="323"/>
      <c r="AM426" s="323"/>
      <c r="AN426" s="323">
        <f>IF(E426="Angiv ikke",0,((1+H426)*VLOOKUP(B426&amp;"_"&amp;E426,'LCA data'!$B$7:$X$360,20,FALSE)*(F426*10^3)*C426))</f>
        <v>0</v>
      </c>
      <c r="AO426" s="323">
        <f>IF(J426="Angiv ikke",0,((1+M426)*VLOOKUP(B426&amp;"_"&amp;J426,'LCA data'!$B$7:$X$360,20,FALSE)*(K426*10^3)*C426))</f>
        <v>0</v>
      </c>
      <c r="AP426" s="323"/>
      <c r="AQ426" s="323"/>
      <c r="AR426" s="323">
        <f>IF(E426="Angiv ikke",0,((1+H426)*VLOOKUP(B426&amp;"_"&amp;E426,'LCA data'!$B$7:$AA$360,26,FALSE)*(F426*10^3)*C426))</f>
        <v>0</v>
      </c>
      <c r="AS426" s="323">
        <f>IF(J426="Angiv ikke",0,((1+M426)*VLOOKUP(B426&amp;"_"&amp;J426,'LCA data'!$B$7:$AA$360,26,FALSE)*(K426*10^3)*C426))</f>
        <v>0</v>
      </c>
      <c r="AT426" s="323"/>
      <c r="AU426" s="323"/>
      <c r="AV426" s="323"/>
      <c r="AW426" s="323"/>
      <c r="AX426" s="323"/>
      <c r="AY426" s="323"/>
      <c r="AZ426" s="323"/>
      <c r="BA426" s="323"/>
      <c r="BB426" s="323"/>
      <c r="BC426" s="323"/>
      <c r="BD426" s="323"/>
      <c r="BE426" s="323"/>
      <c r="BF426" s="323"/>
      <c r="BG426" s="323"/>
      <c r="BH426" s="323"/>
      <c r="BI426" s="323"/>
      <c r="BJ426" s="323"/>
      <c r="BK426" s="323"/>
      <c r="BL426" s="323"/>
      <c r="BM426" s="323"/>
      <c r="BN426" s="323"/>
      <c r="BO426" s="323"/>
      <c r="BP426" s="323"/>
      <c r="BQ426" s="323"/>
      <c r="BR426" s="323"/>
      <c r="BS426" s="323"/>
      <c r="BT426" s="323"/>
      <c r="BU426" s="323"/>
      <c r="BV426" s="323"/>
      <c r="BW426" s="323"/>
      <c r="BX426" s="323"/>
      <c r="BY426" s="323"/>
      <c r="BZ426" s="323"/>
      <c r="CA426" s="323"/>
      <c r="CB426" s="323"/>
      <c r="CC426" s="323"/>
      <c r="CD426" s="323"/>
      <c r="CE426" s="323"/>
      <c r="CF426" s="323"/>
      <c r="CG426" s="323"/>
      <c r="CH426" s="323"/>
      <c r="CI426" s="323"/>
      <c r="CJ426" s="323"/>
      <c r="CK426" s="323"/>
      <c r="CL426" s="323"/>
      <c r="CM426" s="323"/>
      <c r="CN426" s="323"/>
      <c r="CO426" s="323"/>
      <c r="CP426" s="439"/>
      <c r="CQ426" s="440"/>
      <c r="CR426" s="323"/>
      <c r="CS426" s="323"/>
      <c r="CT426" s="323"/>
      <c r="CU426" s="323"/>
      <c r="CV426" s="323"/>
      <c r="CW426" s="323"/>
      <c r="CX426" s="323"/>
      <c r="CY426" s="323"/>
      <c r="CZ426" s="323"/>
    </row>
    <row r="427" spans="2:222" ht="40.4" hidden="1" customHeight="1" outlineLevel="1" thickBot="1" x14ac:dyDescent="0.4">
      <c r="B427" s="209" t="str">
        <f>$B$145</f>
        <v>Loftsbeklædning</v>
      </c>
      <c r="C427" s="464">
        <f t="shared" si="26"/>
        <v>0</v>
      </c>
      <c r="D427" s="171" t="s">
        <v>103</v>
      </c>
      <c r="E427" s="344" t="str">
        <f>IF($D$423=$D$82,D427,VLOOKUP(B427,Auto_Etagedæk[],VLOOKUP($D$423,Type_Tung_Middel_Let[],2,0),0))</f>
        <v>Angiv ikke</v>
      </c>
      <c r="F427" s="474">
        <f>(VLOOKUP(E427,Pris.loft.beklædning[],4,0))/1000</f>
        <v>0</v>
      </c>
      <c r="G427" s="354"/>
      <c r="H427" s="355" t="str">
        <f>IFERROR(IF(VLOOKUP(B427&amp;"_"&amp;E427,'LCA data'!$B$7:$X$200,2,FALSE)&lt;$Y$24,1,0)+IF(VLOOKUP(B427&amp;"_"&amp;E427,'LCA data'!$B$7:$X$200,2,FALSE)*2&lt;$Y$24,1,0),"")</f>
        <v/>
      </c>
      <c r="I427" s="171" t="s">
        <v>103</v>
      </c>
      <c r="J427" s="344" t="str">
        <f>IF($I$423=$D$82,I427,VLOOKUP(B427,Auto_Etagedæk[],VLOOKUP($I$423,Type_Tung_Middel_Let[],2,0),0))</f>
        <v>Angiv ikke</v>
      </c>
      <c r="K427" s="522">
        <f>(VLOOKUP(J427,Pris.loft.beklædning[],4,0))/1000</f>
        <v>0</v>
      </c>
      <c r="L427" s="519"/>
      <c r="M427" s="520" t="str">
        <f>IFERROR(IF(VLOOKUP(B427&amp;"_"&amp;J427,'LCA data'!$B$7:$X$200,2,FALSE)&lt;$Y$24,1,0)+IF(VLOOKUP(B427&amp;"_"&amp;J427,'LCA data'!$B$7:$X$200,2,FALSE)*2&lt;$Y$24,1,0),"")</f>
        <v/>
      </c>
      <c r="N427" s="210">
        <f>W427/1000</f>
        <v>0</v>
      </c>
      <c r="O427" s="879"/>
      <c r="P427" s="211">
        <f>X427/1000</f>
        <v>0</v>
      </c>
      <c r="Q427" s="890"/>
      <c r="R427" s="212"/>
      <c r="S427" s="213"/>
      <c r="U427" s="251"/>
      <c r="V427" s="251"/>
      <c r="W427" s="323">
        <f>IF(E427="Angiv ikke",0,((1+H427)*VLOOKUP(B427&amp;"_"&amp;E427,'LCA data'!$B$7:$X$360,19,FALSE)*(F427*10^3)*C427))</f>
        <v>0</v>
      </c>
      <c r="X427" s="323">
        <f>IF(J427="Angiv ikke",0,((1+M427)*VLOOKUP(B427&amp;"_"&amp;J427,'LCA data'!$B$7:$X$360,19,FALSE)*(K427*10^3)*C427))</f>
        <v>0</v>
      </c>
      <c r="Y427" s="323"/>
      <c r="Z427" s="323"/>
      <c r="AA427" s="323"/>
      <c r="AB427" s="323"/>
      <c r="AC427" s="323"/>
      <c r="AD427" s="323"/>
      <c r="AE427" s="323"/>
      <c r="AF427" s="323"/>
      <c r="AG427" s="323"/>
      <c r="AH427" s="323"/>
      <c r="AI427" s="323"/>
      <c r="AJ427" s="323"/>
      <c r="AK427" s="323"/>
      <c r="AL427" s="323"/>
      <c r="AM427" s="323"/>
      <c r="AN427" s="323">
        <f>IF(E427="Angiv ikke",0,((1+H427)*VLOOKUP(B427&amp;"_"&amp;E427,'LCA data'!$B$7:$X$360,20,FALSE)*(F427*10^3)*C427))</f>
        <v>0</v>
      </c>
      <c r="AO427" s="323">
        <f>IF(J427="Angiv ikke",0,((1+M427)*VLOOKUP(B427&amp;"_"&amp;J427,'LCA data'!$B$7:$X$360,20,FALSE)*(K427*10^3)*C427))</f>
        <v>0</v>
      </c>
      <c r="AP427" s="323"/>
      <c r="AQ427" s="323"/>
      <c r="AR427" s="323">
        <f>IF(E427="Angiv ikke",0,((1+H427)*VLOOKUP(B427&amp;"_"&amp;E427,'LCA data'!$B$7:$AA$360,26,FALSE)*(F427*10^3)*C427))</f>
        <v>0</v>
      </c>
      <c r="AS427" s="323">
        <f>IF(J427="Angiv ikke",0,((1+M427)*VLOOKUP(B427&amp;"_"&amp;J427,'LCA data'!$B$7:$AA$360,26,FALSE)*(K427*10^3)*C427))</f>
        <v>0</v>
      </c>
      <c r="AT427" s="323"/>
      <c r="AU427" s="323"/>
      <c r="AV427" s="323"/>
      <c r="AW427" s="323"/>
      <c r="AX427" s="323"/>
      <c r="AY427" s="323"/>
      <c r="AZ427" s="323"/>
      <c r="BA427" s="323"/>
      <c r="BB427" s="323"/>
      <c r="BC427" s="323"/>
      <c r="BD427" s="323"/>
      <c r="BE427" s="323"/>
      <c r="BF427" s="323"/>
      <c r="BG427" s="323"/>
      <c r="BH427" s="323"/>
      <c r="BI427" s="323"/>
      <c r="BJ427" s="323"/>
      <c r="BK427" s="323"/>
      <c r="BL427" s="323"/>
      <c r="BM427" s="323"/>
      <c r="BN427" s="323"/>
      <c r="BO427" s="323"/>
      <c r="BP427" s="323"/>
      <c r="BQ427" s="323"/>
      <c r="BR427" s="323"/>
      <c r="BS427" s="323"/>
      <c r="BT427" s="323"/>
      <c r="BU427" s="323"/>
      <c r="BV427" s="323"/>
      <c r="BW427" s="323"/>
      <c r="BX427" s="323"/>
      <c r="BY427" s="323"/>
      <c r="BZ427" s="323"/>
      <c r="CA427" s="323"/>
      <c r="CB427" s="323"/>
      <c r="CC427" s="323"/>
      <c r="CD427" s="323"/>
      <c r="CE427" s="323"/>
      <c r="CF427" s="323"/>
      <c r="CG427" s="323"/>
      <c r="CH427" s="323"/>
      <c r="CI427" s="323"/>
      <c r="CJ427" s="323"/>
      <c r="CK427" s="323"/>
      <c r="CL427" s="323"/>
      <c r="CM427" s="323"/>
      <c r="CN427" s="323"/>
      <c r="CO427" s="323"/>
      <c r="CP427" s="428"/>
      <c r="CQ427" s="441"/>
      <c r="CR427" s="323"/>
      <c r="CS427" s="323"/>
      <c r="CT427" s="323"/>
      <c r="CU427" s="323"/>
      <c r="CV427" s="323"/>
      <c r="CW427" s="323"/>
      <c r="CX427" s="323"/>
      <c r="CY427" s="323"/>
      <c r="CZ427" s="323"/>
    </row>
    <row r="428" spans="2:222" ht="17.149999999999999" hidden="1" customHeight="1" outlineLevel="1" x14ac:dyDescent="0.35">
      <c r="B428" s="173" t="s">
        <v>130</v>
      </c>
      <c r="C428" s="217"/>
      <c r="E428" s="217"/>
      <c r="F428" s="217"/>
      <c r="G428" s="217"/>
      <c r="H428" s="217"/>
      <c r="J428" s="217"/>
      <c r="K428" s="217"/>
      <c r="L428" s="217"/>
      <c r="M428" s="217"/>
      <c r="N428" s="217"/>
      <c r="O428" s="217"/>
      <c r="P428" s="217"/>
      <c r="Q428" s="217"/>
      <c r="R428" s="217"/>
      <c r="U428" s="251"/>
      <c r="V428" s="251"/>
      <c r="W428" s="323">
        <f>IFERROR(IF(OR(E428="Angiv ikke",J428="Angiv ikke"),0,(VLOOKUP(B428&amp;"_"&amp;J428,'LCA data'!$B$7:$X$2106,19,FALSE)+M428*VLOOKUP(B428&amp;"_"&amp;J428,'LCA data'!$B$7:$X$2106,19,FALSE))*(K428*10^3)*C428),0)</f>
        <v>0</v>
      </c>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c r="BM428" s="323"/>
      <c r="BN428" s="323"/>
      <c r="BO428" s="323"/>
      <c r="BP428" s="323"/>
      <c r="BQ428" s="323"/>
      <c r="BR428" s="323"/>
      <c r="BS428" s="323"/>
      <c r="BT428" s="323"/>
      <c r="BU428" s="323"/>
      <c r="BV428" s="323"/>
      <c r="BW428" s="323"/>
      <c r="BX428" s="323"/>
      <c r="BY428" s="323"/>
      <c r="BZ428" s="323"/>
      <c r="CA428" s="323"/>
      <c r="CB428" s="323"/>
      <c r="CC428" s="323"/>
      <c r="CD428" s="323"/>
      <c r="CE428" s="323"/>
      <c r="CF428" s="323"/>
      <c r="CG428" s="323"/>
      <c r="CH428" s="323"/>
      <c r="CI428" s="323"/>
      <c r="CJ428" s="323"/>
      <c r="CK428" s="323"/>
      <c r="CL428" s="323"/>
      <c r="CM428" s="323"/>
      <c r="CN428" s="323"/>
      <c r="CO428" s="323"/>
      <c r="CP428" s="439"/>
      <c r="CQ428" s="446"/>
      <c r="CR428" s="323"/>
      <c r="CS428" s="323"/>
      <c r="CT428" s="323"/>
      <c r="CU428" s="323"/>
      <c r="CV428" s="323"/>
      <c r="CW428" s="323"/>
      <c r="CX428" s="323"/>
      <c r="CY428" s="323"/>
      <c r="CZ428" s="323"/>
    </row>
    <row r="429" spans="2:222" ht="17.149999999999999" customHeight="1" collapsed="1" x14ac:dyDescent="0.35">
      <c r="B429" s="542"/>
      <c r="C429" s="558"/>
      <c r="D429" s="542"/>
      <c r="E429" s="558"/>
      <c r="F429" s="558"/>
      <c r="G429" s="558"/>
      <c r="H429" s="558"/>
      <c r="I429" s="542"/>
      <c r="J429" s="558"/>
      <c r="K429" s="558"/>
      <c r="L429" s="558"/>
      <c r="M429" s="558"/>
      <c r="N429" s="217"/>
      <c r="O429" s="217"/>
      <c r="P429" s="217"/>
      <c r="Q429" s="217"/>
      <c r="R429" s="217"/>
      <c r="U429" s="251"/>
      <c r="V429" s="251"/>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c r="BM429" s="323"/>
      <c r="BN429" s="323"/>
      <c r="BO429" s="323"/>
      <c r="BP429" s="323"/>
      <c r="BQ429" s="323"/>
      <c r="BR429" s="323"/>
      <c r="BS429" s="323"/>
      <c r="BT429" s="323"/>
      <c r="BU429" s="323"/>
      <c r="BV429" s="323"/>
      <c r="BW429" s="323"/>
      <c r="BX429" s="323"/>
      <c r="BY429" s="323"/>
      <c r="BZ429" s="323"/>
      <c r="CA429" s="323"/>
      <c r="CB429" s="323"/>
      <c r="CC429" s="323"/>
      <c r="CD429" s="323"/>
      <c r="CE429" s="323"/>
      <c r="CF429" s="323"/>
      <c r="CG429" s="323"/>
      <c r="CH429" s="323"/>
      <c r="CI429" s="323"/>
      <c r="CJ429" s="323"/>
      <c r="CK429" s="323"/>
      <c r="CL429" s="323"/>
      <c r="CM429" s="323"/>
      <c r="CN429" s="323"/>
      <c r="CO429" s="323"/>
      <c r="CP429" s="439"/>
      <c r="CQ429" s="440"/>
      <c r="CR429" s="323"/>
      <c r="CS429" s="323"/>
      <c r="CT429" s="323"/>
      <c r="CU429" s="323"/>
      <c r="CV429" s="323"/>
      <c r="CW429" s="323"/>
      <c r="CX429" s="323"/>
      <c r="CY429" s="323"/>
      <c r="CZ429" s="323"/>
    </row>
    <row r="430" spans="2:222" ht="29.25" hidden="1" customHeight="1" outlineLevel="1" x14ac:dyDescent="0.7">
      <c r="B430" s="493" t="s">
        <v>112</v>
      </c>
      <c r="C430" s="506"/>
      <c r="D430" s="506"/>
      <c r="E430" s="506" t="s">
        <v>39</v>
      </c>
      <c r="F430" s="499"/>
      <c r="G430" s="499"/>
      <c r="H430" s="499"/>
      <c r="I430" s="500" t="str">
        <f>"Etagedæk"&amp;" "&amp;4</f>
        <v>Etagedæk 4</v>
      </c>
      <c r="J430" s="500"/>
      <c r="K430" s="499"/>
      <c r="L430" s="499"/>
      <c r="M430" s="499"/>
      <c r="N430" s="499"/>
      <c r="O430" s="499"/>
      <c r="P430" s="499"/>
      <c r="Q430" s="501"/>
      <c r="R430" s="409"/>
      <c r="S430" s="191"/>
      <c r="U430" s="251"/>
      <c r="V430" s="251"/>
      <c r="W430" s="323">
        <f>IF(D433=$D$82,1,0)</f>
        <v>1</v>
      </c>
      <c r="X430" s="323">
        <f>IF(I433=$D$82,1,0)</f>
        <v>1</v>
      </c>
      <c r="Y430" s="323"/>
      <c r="Z430" s="323"/>
      <c r="AA430" s="323"/>
      <c r="AB430" s="323"/>
      <c r="AC430" s="323"/>
      <c r="AD430" s="323"/>
      <c r="AE430" s="323"/>
      <c r="AF430" s="323"/>
      <c r="AG430" s="323"/>
      <c r="AH430" s="323"/>
      <c r="AI430" s="323"/>
      <c r="AJ430" s="323" t="s">
        <v>746</v>
      </c>
      <c r="AK430" s="323" t="s">
        <v>747</v>
      </c>
      <c r="AL430" s="323"/>
      <c r="AM430" s="323"/>
      <c r="AN430" s="323" t="s">
        <v>846</v>
      </c>
      <c r="AO430" s="323"/>
      <c r="AP430" s="323"/>
      <c r="AQ430" s="323"/>
      <c r="AR430" s="323" t="s">
        <v>851</v>
      </c>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c r="BN430" s="323"/>
      <c r="BO430" s="323"/>
      <c r="BP430" s="323"/>
      <c r="BQ430" s="323"/>
      <c r="BR430" s="323"/>
      <c r="BS430" s="323"/>
      <c r="BT430" s="323"/>
      <c r="BU430" s="323"/>
      <c r="BV430" s="323"/>
      <c r="BW430" s="323"/>
      <c r="BX430" s="323"/>
      <c r="BY430" s="323"/>
      <c r="BZ430" s="323"/>
      <c r="CA430" s="323"/>
      <c r="CB430" s="323"/>
      <c r="CC430" s="323"/>
      <c r="CD430" s="323"/>
      <c r="CE430" s="323"/>
      <c r="CF430" s="323"/>
      <c r="CG430" s="323"/>
      <c r="CH430" s="323"/>
      <c r="CI430" s="323"/>
      <c r="CJ430" s="323"/>
      <c r="CK430" s="323"/>
      <c r="CL430" s="323"/>
      <c r="CM430" s="323"/>
      <c r="CN430" s="323"/>
      <c r="CO430" s="323"/>
      <c r="CP430" s="447"/>
      <c r="CQ430" s="448"/>
      <c r="CR430" s="323"/>
      <c r="CS430" s="323"/>
      <c r="CT430" s="323"/>
      <c r="CU430" s="323"/>
      <c r="CV430" s="323"/>
      <c r="CW430" s="323"/>
      <c r="CX430" s="323"/>
      <c r="CY430" s="323"/>
      <c r="CZ430" s="323"/>
    </row>
    <row r="431" spans="2:222" ht="40.4" hidden="1" customHeight="1" outlineLevel="1" x14ac:dyDescent="0.35">
      <c r="B431" s="359" t="s">
        <v>78</v>
      </c>
      <c r="C431" s="195" t="s">
        <v>80</v>
      </c>
      <c r="D431" s="910" t="s">
        <v>4</v>
      </c>
      <c r="E431" s="911"/>
      <c r="F431" s="911"/>
      <c r="G431" s="911"/>
      <c r="H431" s="912"/>
      <c r="I431" s="885" t="s">
        <v>5</v>
      </c>
      <c r="J431" s="886"/>
      <c r="K431" s="886"/>
      <c r="L431" s="886"/>
      <c r="M431" s="887"/>
      <c r="N431" s="877" t="s">
        <v>79</v>
      </c>
      <c r="O431" s="877"/>
      <c r="P431" s="877"/>
      <c r="Q431" s="881"/>
      <c r="R431" s="192"/>
      <c r="S431" s="411"/>
      <c r="T431" s="175"/>
      <c r="U431" s="251"/>
      <c r="V431" s="251"/>
      <c r="W431" s="323"/>
      <c r="X431" s="323"/>
      <c r="Y431" s="323"/>
      <c r="Z431" s="323"/>
      <c r="AA431" s="323"/>
      <c r="AB431" s="323"/>
      <c r="AC431" s="323"/>
      <c r="AD431" s="323"/>
      <c r="AE431" s="323"/>
      <c r="AF431" s="323"/>
      <c r="AG431" s="323"/>
      <c r="AH431" s="323"/>
      <c r="AI431" s="323" t="s">
        <v>338</v>
      </c>
      <c r="AJ431" s="323">
        <f>VLOOKUP(E434,Pris.gulv.belægning[],2,0)*C434</f>
        <v>0</v>
      </c>
      <c r="AK431" s="323">
        <f>VLOOKUP(J434,Pris.gulv.belægning[],2,0)*C434</f>
        <v>0</v>
      </c>
      <c r="AL431" s="323"/>
      <c r="AM431" s="323"/>
      <c r="AN431" s="323" t="s">
        <v>4</v>
      </c>
      <c r="AO431" s="323" t="s">
        <v>5</v>
      </c>
      <c r="AP431" s="323"/>
      <c r="AQ431" s="323"/>
      <c r="AR431" s="323" t="s">
        <v>4</v>
      </c>
      <c r="AS431" s="323" t="s">
        <v>5</v>
      </c>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c r="BN431" s="323"/>
      <c r="BO431" s="323"/>
      <c r="BP431" s="323"/>
      <c r="BQ431" s="323"/>
      <c r="BR431" s="323"/>
      <c r="BS431" s="323"/>
      <c r="BT431" s="323"/>
      <c r="BU431" s="323"/>
      <c r="BV431" s="323"/>
      <c r="BW431" s="323"/>
      <c r="BX431" s="323"/>
      <c r="BY431" s="323"/>
      <c r="BZ431" s="323"/>
      <c r="CA431" s="323"/>
      <c r="CB431" s="323"/>
      <c r="CC431" s="323"/>
      <c r="CD431" s="323"/>
      <c r="CE431" s="323"/>
      <c r="CF431" s="323"/>
      <c r="CG431" s="323"/>
      <c r="CH431" s="323"/>
      <c r="CI431" s="323"/>
      <c r="CJ431" s="323"/>
      <c r="CK431" s="323"/>
      <c r="CL431" s="323"/>
      <c r="CM431" s="323"/>
      <c r="CN431" s="323"/>
      <c r="CO431" s="323"/>
      <c r="CP431" s="439"/>
      <c r="CQ431" s="440"/>
      <c r="CR431" s="323"/>
      <c r="CS431" s="323"/>
      <c r="CT431" s="323"/>
      <c r="CU431" s="323"/>
      <c r="CV431" s="323"/>
      <c r="CW431" s="323"/>
      <c r="CX431" s="323"/>
      <c r="CY431" s="323"/>
      <c r="CZ431" s="323"/>
    </row>
    <row r="432" spans="2:222" ht="47.15" hidden="1" customHeight="1" outlineLevel="1" x14ac:dyDescent="0.35">
      <c r="B432" s="194"/>
      <c r="C432" s="665">
        <v>0</v>
      </c>
      <c r="D432" s="908" t="s">
        <v>797</v>
      </c>
      <c r="E432" s="909"/>
      <c r="F432" s="338" t="s">
        <v>82</v>
      </c>
      <c r="G432" s="338"/>
      <c r="H432" s="346" t="s">
        <v>84</v>
      </c>
      <c r="I432" s="913" t="s">
        <v>797</v>
      </c>
      <c r="J432" s="914"/>
      <c r="K432" s="479" t="s">
        <v>82</v>
      </c>
      <c r="L432" s="479"/>
      <c r="M432" s="508" t="s">
        <v>84</v>
      </c>
      <c r="N432" s="195" t="s">
        <v>4</v>
      </c>
      <c r="O432" s="195" t="s">
        <v>85</v>
      </c>
      <c r="P432" s="195" t="s">
        <v>5</v>
      </c>
      <c r="Q432" s="357" t="s">
        <v>86</v>
      </c>
      <c r="R432" s="192"/>
      <c r="S432" s="193"/>
      <c r="U432" s="251"/>
      <c r="V432" s="251"/>
      <c r="W432" s="323" t="s">
        <v>87</v>
      </c>
      <c r="X432" s="323" t="s">
        <v>88</v>
      </c>
      <c r="Y432" s="323"/>
      <c r="Z432" s="323"/>
      <c r="AA432" s="323" t="s">
        <v>91</v>
      </c>
      <c r="AB432" s="323"/>
      <c r="AC432" s="323"/>
      <c r="AD432" s="323"/>
      <c r="AE432" s="323" t="s">
        <v>92</v>
      </c>
      <c r="AF432" s="323"/>
      <c r="AG432" s="323"/>
      <c r="AH432" s="323"/>
      <c r="AI432" s="323" t="str">
        <f>'LCA data'!$B$32</f>
        <v>Isolering</v>
      </c>
      <c r="AJ432" s="323">
        <f>VLOOKUP(E435,Pris.isolering[],2,0)*F435*C435</f>
        <v>0</v>
      </c>
      <c r="AK432" s="323">
        <f>VLOOKUP(J435,Pris.isolering[],2,0)*K435*C435</f>
        <v>0</v>
      </c>
      <c r="AL432" s="323"/>
      <c r="AM432" s="323"/>
      <c r="AN432" s="323">
        <f>SUM(AN434:AN438)</f>
        <v>0</v>
      </c>
      <c r="AO432" s="323">
        <f>SUM(AO434:AO438)</f>
        <v>0</v>
      </c>
      <c r="AP432" s="323"/>
      <c r="AQ432" s="323"/>
      <c r="AR432" s="323">
        <f>SUM(AR434:AR437)</f>
        <v>0</v>
      </c>
      <c r="AS432" s="323">
        <f>SUM(AS434:AS437)</f>
        <v>0</v>
      </c>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c r="BN432" s="323"/>
      <c r="BO432" s="323"/>
      <c r="BP432" s="323"/>
      <c r="BQ432" s="323"/>
      <c r="BR432" s="323"/>
      <c r="BS432" s="323"/>
      <c r="BT432" s="323"/>
      <c r="BU432" s="323"/>
      <c r="BV432" s="323"/>
      <c r="BW432" s="323"/>
      <c r="BX432" s="323"/>
      <c r="BY432" s="323"/>
      <c r="BZ432" s="323"/>
      <c r="CA432" s="323"/>
      <c r="CB432" s="323"/>
      <c r="CC432" s="323"/>
      <c r="CD432" s="323"/>
      <c r="CE432" s="323"/>
      <c r="CF432" s="323"/>
      <c r="CG432" s="323"/>
      <c r="CH432" s="323"/>
      <c r="CI432" s="323"/>
      <c r="CJ432" s="323"/>
      <c r="CK432" s="323"/>
      <c r="CL432" s="323"/>
      <c r="CM432" s="323"/>
      <c r="CN432" s="323"/>
      <c r="CO432" s="323"/>
      <c r="CP432" s="439"/>
      <c r="CQ432" s="440"/>
      <c r="CR432" s="323"/>
      <c r="CS432" s="323"/>
      <c r="CT432" s="323"/>
      <c r="CU432" s="323"/>
      <c r="CV432" s="323"/>
      <c r="CW432" s="323"/>
      <c r="CX432" s="323"/>
      <c r="CY432" s="323"/>
      <c r="CZ432" s="323"/>
    </row>
    <row r="433" spans="2:222" s="198" customFormat="1" ht="26" hidden="1" customHeight="1" outlineLevel="1" x14ac:dyDescent="0.35">
      <c r="B433" s="199"/>
      <c r="C433" s="200" t="s">
        <v>93</v>
      </c>
      <c r="D433" s="915" t="s">
        <v>811</v>
      </c>
      <c r="E433" s="915"/>
      <c r="F433" s="347" t="s">
        <v>94</v>
      </c>
      <c r="G433" s="348"/>
      <c r="H433" s="349" t="s">
        <v>96</v>
      </c>
      <c r="I433" s="915" t="s">
        <v>811</v>
      </c>
      <c r="J433" s="915"/>
      <c r="K433" s="510" t="s">
        <v>94</v>
      </c>
      <c r="L433" s="511"/>
      <c r="M433" s="512" t="s">
        <v>96</v>
      </c>
      <c r="N433" s="201" t="s">
        <v>97</v>
      </c>
      <c r="O433" s="201" t="s">
        <v>97</v>
      </c>
      <c r="P433" s="201" t="s">
        <v>97</v>
      </c>
      <c r="Q433" s="358" t="s">
        <v>97</v>
      </c>
      <c r="R433" s="192"/>
      <c r="S433" s="196"/>
      <c r="T433" s="204"/>
      <c r="U433" s="325"/>
      <c r="V433" s="325"/>
      <c r="W433" s="323">
        <f>SUM(W434:W438)</f>
        <v>0</v>
      </c>
      <c r="X433" s="323">
        <f>SUM(X434:X438)</f>
        <v>0</v>
      </c>
      <c r="Y433" s="323"/>
      <c r="Z433" s="323"/>
      <c r="AA433" s="323"/>
      <c r="AB433" s="323" t="s">
        <v>111</v>
      </c>
      <c r="AC433" s="323"/>
      <c r="AD433" s="323" t="s">
        <v>99</v>
      </c>
      <c r="AE433" s="323" t="s">
        <v>100</v>
      </c>
      <c r="AF433" s="323"/>
      <c r="AG433" s="323"/>
      <c r="AH433" s="323"/>
      <c r="AI433" s="323" t="s">
        <v>41</v>
      </c>
      <c r="AJ433" s="323">
        <f>VLOOKUP(E436,Pris.Etagedæk[],2,0)*C436</f>
        <v>0</v>
      </c>
      <c r="AK433" s="323">
        <f>VLOOKUP(J436,Pris.Etagedæk[],2,0)*C436</f>
        <v>0</v>
      </c>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c r="BN433" s="323"/>
      <c r="BO433" s="323"/>
      <c r="BP433" s="323"/>
      <c r="BQ433" s="323"/>
      <c r="BR433" s="323"/>
      <c r="BS433" s="323"/>
      <c r="BT433" s="323"/>
      <c r="BU433" s="323"/>
      <c r="BV433" s="323"/>
      <c r="BW433" s="323"/>
      <c r="BX433" s="323"/>
      <c r="BY433" s="323"/>
      <c r="BZ433" s="323"/>
      <c r="CA433" s="323"/>
      <c r="CB433" s="323"/>
      <c r="CC433" s="323"/>
      <c r="CD433" s="323"/>
      <c r="CE433" s="323"/>
      <c r="CF433" s="323"/>
      <c r="CG433" s="323"/>
      <c r="CH433" s="323"/>
      <c r="CI433" s="323"/>
      <c r="CJ433" s="323"/>
      <c r="CK433" s="323"/>
      <c r="CL433" s="323"/>
      <c r="CM433" s="323"/>
      <c r="CN433" s="323"/>
      <c r="CO433" s="323"/>
      <c r="CP433" s="444"/>
      <c r="CQ433" s="440"/>
      <c r="CR433" s="323"/>
      <c r="CS433" s="323"/>
      <c r="CT433" s="323"/>
      <c r="CU433" s="323"/>
      <c r="CV433" s="323"/>
      <c r="CW433" s="323"/>
      <c r="CX433" s="323"/>
      <c r="CY433" s="323"/>
      <c r="CZ433" s="323"/>
      <c r="DA433" s="325"/>
      <c r="DB433" s="325"/>
      <c r="DC433" s="325"/>
      <c r="DD433" s="325"/>
      <c r="DE433" s="325"/>
      <c r="DF433" s="325"/>
      <c r="DG433" s="325"/>
      <c r="DH433" s="325"/>
      <c r="DI433" s="325"/>
      <c r="DJ433" s="325"/>
      <c r="DK433" s="325"/>
      <c r="DL433" s="325"/>
      <c r="DM433" s="325"/>
      <c r="DN433" s="325"/>
      <c r="DO433" s="325"/>
      <c r="DP433" s="325"/>
      <c r="DQ433" s="325"/>
      <c r="DR433" s="325"/>
      <c r="DS433" s="325"/>
      <c r="DT433" s="325"/>
      <c r="DU433" s="325"/>
      <c r="DV433" s="325"/>
      <c r="DW433" s="325"/>
      <c r="DX433" s="325"/>
      <c r="DY433" s="325"/>
      <c r="DZ433" s="325"/>
      <c r="EA433" s="325"/>
      <c r="EB433" s="325"/>
      <c r="EC433" s="325"/>
      <c r="ED433" s="325"/>
      <c r="EE433" s="325"/>
      <c r="EF433" s="325"/>
      <c r="EG433" s="325"/>
      <c r="EH433" s="325"/>
      <c r="EI433" s="325"/>
      <c r="EJ433" s="325"/>
      <c r="EK433" s="325"/>
      <c r="EL433" s="325"/>
      <c r="EM433" s="325"/>
      <c r="EN433" s="325"/>
      <c r="EO433" s="325"/>
      <c r="EP433" s="325"/>
      <c r="EQ433" s="325"/>
      <c r="ER433" s="325"/>
      <c r="ES433" s="325"/>
      <c r="ET433" s="325"/>
      <c r="EU433" s="325"/>
      <c r="EV433" s="325"/>
      <c r="EW433" s="325"/>
      <c r="EX433" s="325"/>
      <c r="EY433" s="325"/>
      <c r="EZ433" s="325"/>
      <c r="FA433" s="325"/>
      <c r="FB433" s="325"/>
      <c r="FC433" s="325"/>
      <c r="FD433" s="325"/>
      <c r="FE433" s="325"/>
      <c r="FF433" s="325"/>
      <c r="FG433" s="325"/>
      <c r="FH433" s="325"/>
      <c r="FI433" s="325"/>
      <c r="FJ433" s="325"/>
      <c r="FK433" s="325"/>
      <c r="FL433" s="325"/>
      <c r="FM433" s="325"/>
      <c r="FN433" s="325"/>
      <c r="FO433" s="325"/>
      <c r="FP433" s="325"/>
      <c r="FQ433" s="325"/>
      <c r="FR433" s="325"/>
      <c r="FS433" s="325"/>
      <c r="FT433" s="325"/>
      <c r="FU433" s="325"/>
      <c r="FV433" s="325"/>
      <c r="FW433" s="325"/>
      <c r="FX433" s="325"/>
      <c r="FY433" s="325"/>
      <c r="FZ433" s="325"/>
      <c r="GA433" s="325"/>
      <c r="GB433" s="325"/>
      <c r="GC433" s="325"/>
      <c r="GD433" s="325"/>
      <c r="GE433" s="325"/>
      <c r="GF433" s="325"/>
      <c r="GG433" s="325"/>
      <c r="GH433" s="325"/>
      <c r="GI433" s="325"/>
      <c r="GJ433" s="325"/>
      <c r="GK433" s="325"/>
      <c r="GL433" s="325"/>
      <c r="GM433" s="325"/>
      <c r="GN433" s="325"/>
      <c r="GO433" s="325"/>
      <c r="GP433" s="325"/>
      <c r="GQ433" s="325"/>
      <c r="GR433" s="325"/>
      <c r="GS433" s="325"/>
      <c r="GT433" s="325"/>
      <c r="GU433" s="325"/>
      <c r="GV433" s="325"/>
      <c r="GW433" s="325"/>
      <c r="GX433" s="325"/>
      <c r="GY433" s="325"/>
      <c r="GZ433" s="325"/>
      <c r="HA433" s="325"/>
      <c r="HB433" s="325"/>
      <c r="HC433" s="325"/>
      <c r="HD433" s="325"/>
      <c r="HE433" s="325"/>
      <c r="HF433" s="325"/>
      <c r="HG433" s="325"/>
      <c r="HH433" s="325"/>
      <c r="HI433" s="325"/>
      <c r="HJ433" s="325"/>
      <c r="HK433" s="325"/>
      <c r="HL433" s="325"/>
      <c r="HM433" s="325"/>
      <c r="HN433" s="325"/>
    </row>
    <row r="434" spans="2:222" ht="40.4" hidden="1" customHeight="1" outlineLevel="1" x14ac:dyDescent="0.35">
      <c r="B434" s="363" t="str">
        <f>B232</f>
        <v>Gulvoverflade</v>
      </c>
      <c r="C434" s="465">
        <f>$C$432*$C$45</f>
        <v>0</v>
      </c>
      <c r="D434" s="15" t="s">
        <v>103</v>
      </c>
      <c r="E434" s="342" t="str">
        <f>IF($D$433=$D$82,D434,VLOOKUP(B434,Auto_Etagedæk[],VLOOKUP($D$433,Type_Tung_Middel_Let[],2,0),0))</f>
        <v>Angiv ikke</v>
      </c>
      <c r="F434" s="356">
        <f>(VLOOKUP(E434,Pris.gulv.belægning[],4,0))/1000</f>
        <v>0</v>
      </c>
      <c r="G434" s="350"/>
      <c r="H434" s="351" t="str">
        <f>IFERROR(IF(VLOOKUP(B434&amp;"_"&amp;E434,'LCA data'!$B$7:$X$200,2,FALSE)&lt;$Y$24,1,0)+IF(VLOOKUP(B434&amp;"_"&amp;E434,'LCA data'!$B$7:$X$200,2,FALSE)*2&lt;$Y$24,1,0),"")</f>
        <v/>
      </c>
      <c r="I434" s="15" t="s">
        <v>103</v>
      </c>
      <c r="J434" s="342" t="str">
        <f>IF($I$433=$D$82,I434,VLOOKUP(B434,Auto_Etagedæk[],VLOOKUP($I$433,Type_Tung_Middel_Let[],2,0),0))</f>
        <v>Angiv ikke</v>
      </c>
      <c r="K434" s="513">
        <f>(VLOOKUP(J434,Pris.gulv.belægning[],4,0))/1000</f>
        <v>0</v>
      </c>
      <c r="L434" s="514"/>
      <c r="M434" s="515" t="str">
        <f>IFERROR(IF(VLOOKUP(B434&amp;"_"&amp;J434,'LCA data'!$B$7:$X$200,2,FALSE)&lt;$Y$24,1,0)+IF(VLOOKUP(B434&amp;"_"&amp;J434,'LCA data'!$B$7:$X$200,2,FALSE)*2&lt;$Y$24,1,0),"")</f>
        <v/>
      </c>
      <c r="N434" s="364">
        <f>W434/1000</f>
        <v>0</v>
      </c>
      <c r="O434" s="880">
        <f>SUM(N434:N438)</f>
        <v>0</v>
      </c>
      <c r="P434" s="365">
        <f>X434/1000</f>
        <v>0</v>
      </c>
      <c r="Q434" s="888">
        <f>SUM(P434:P438)</f>
        <v>0</v>
      </c>
      <c r="R434" s="202"/>
      <c r="S434" s="203"/>
      <c r="U434" s="251"/>
      <c r="V434" s="251"/>
      <c r="W434" s="323">
        <f>IF(E434="Angiv ikke",0,((1+H434)*VLOOKUP(B434&amp;"_"&amp;E434,'LCA data'!$B$7:$X$360,19,FALSE)*(F434*10^3)*C434))</f>
        <v>0</v>
      </c>
      <c r="X434" s="323">
        <f>IF(J434="Angiv ikke",0,((1+M434)*VLOOKUP(B434&amp;"_"&amp;J434,'LCA data'!$B$7:$X$360,19,FALSE)*(K434*10^3)*C434))</f>
        <v>0</v>
      </c>
      <c r="Y434" s="323"/>
      <c r="Z434" s="323"/>
      <c r="AA434" s="323" t="s">
        <v>4</v>
      </c>
      <c r="AB434" s="323">
        <f>AF434/$J$21/$Y$24*1000</f>
        <v>0</v>
      </c>
      <c r="AC434" s="323"/>
      <c r="AD434" s="323">
        <f>AB434+AC434</f>
        <v>0</v>
      </c>
      <c r="AE434" s="323" t="s">
        <v>4</v>
      </c>
      <c r="AF434" s="323">
        <f>W433/1000</f>
        <v>0</v>
      </c>
      <c r="AG434" s="323"/>
      <c r="AH434" s="323"/>
      <c r="AI434" s="323" t="str">
        <f>'LCA data'!$B$105</f>
        <v>Loftsbeklædning</v>
      </c>
      <c r="AJ434" s="323">
        <f>VLOOKUP(E437,Pris.loft.beklædning[],2,0)*C437</f>
        <v>0</v>
      </c>
      <c r="AK434" s="323">
        <f>VLOOKUP(J437,Pris.loft.beklædning[],2,0)*C437</f>
        <v>0</v>
      </c>
      <c r="AL434" s="323"/>
      <c r="AM434" s="323"/>
      <c r="AN434" s="323">
        <f>IF(E434="Angiv ikke",0,((1+H434)*VLOOKUP(B434&amp;"_"&amp;E434,'LCA data'!$B$7:$X$360,20,FALSE)*(F434*10^3)*C434))</f>
        <v>0</v>
      </c>
      <c r="AO434" s="323">
        <f>IF(J434="Angiv ikke",0,((1+M434)*VLOOKUP(B434&amp;"_"&amp;J434,'LCA data'!$B$7:$X$360,20,FALSE)*(K434*10^3)*C434))</f>
        <v>0</v>
      </c>
      <c r="AP434" s="323"/>
      <c r="AQ434" s="323"/>
      <c r="AR434" s="323">
        <f>IF(E434="Angiv ikke",0,((1+H434)*VLOOKUP(B434&amp;"_"&amp;E434,'LCA data'!$B$7:$AA$360,26,FALSE)*(F434*10^3)*C434))</f>
        <v>0</v>
      </c>
      <c r="AS434" s="323">
        <f>IF(J434="Angiv ikke",0,((1+M434)*VLOOKUP(B434&amp;"_"&amp;J434,'LCA data'!$B$7:$AA$360,26,FALSE)*(K434*10^3)*C434))</f>
        <v>0</v>
      </c>
      <c r="AT434" s="323"/>
      <c r="AU434" s="323"/>
      <c r="AV434" s="323"/>
      <c r="AW434" s="323"/>
      <c r="AX434" s="323"/>
      <c r="AY434" s="323"/>
      <c r="AZ434" s="323"/>
      <c r="BA434" s="323"/>
      <c r="BB434" s="323"/>
      <c r="BC434" s="323"/>
      <c r="BD434" s="323"/>
      <c r="BE434" s="323"/>
      <c r="BF434" s="323"/>
      <c r="BG434" s="323"/>
      <c r="BH434" s="323"/>
      <c r="BI434" s="323"/>
      <c r="BJ434" s="323"/>
      <c r="BK434" s="323"/>
      <c r="BL434" s="323"/>
      <c r="BM434" s="323"/>
      <c r="BN434" s="323"/>
      <c r="BO434" s="323"/>
      <c r="BP434" s="323"/>
      <c r="BQ434" s="323"/>
      <c r="BR434" s="323"/>
      <c r="BS434" s="323"/>
      <c r="BT434" s="323"/>
      <c r="BU434" s="323"/>
      <c r="BV434" s="323"/>
      <c r="BW434" s="323"/>
      <c r="BX434" s="323"/>
      <c r="BY434" s="323"/>
      <c r="BZ434" s="323"/>
      <c r="CA434" s="323"/>
      <c r="CB434" s="323"/>
      <c r="CC434" s="323"/>
      <c r="CD434" s="323"/>
      <c r="CE434" s="323"/>
      <c r="CF434" s="323"/>
      <c r="CG434" s="323"/>
      <c r="CH434" s="323"/>
      <c r="CI434" s="323"/>
      <c r="CJ434" s="323"/>
      <c r="CK434" s="323"/>
      <c r="CL434" s="323"/>
      <c r="CM434" s="323"/>
      <c r="CN434" s="323"/>
      <c r="CO434" s="323"/>
      <c r="CP434" s="439"/>
      <c r="CQ434" s="440"/>
      <c r="CR434" s="323"/>
      <c r="CS434" s="323"/>
      <c r="CT434" s="323"/>
      <c r="CU434" s="323"/>
      <c r="CV434" s="323"/>
      <c r="CW434" s="323"/>
      <c r="CX434" s="323"/>
      <c r="CY434" s="323"/>
      <c r="CZ434" s="323"/>
    </row>
    <row r="435" spans="2:222" ht="40.4" hidden="1" customHeight="1" outlineLevel="1" x14ac:dyDescent="0.35">
      <c r="B435" s="208" t="str">
        <f>'LCA data'!$B$32</f>
        <v>Isolering</v>
      </c>
      <c r="C435" s="465">
        <f t="shared" ref="C435:C437" si="27">$C$432*$C$45</f>
        <v>0</v>
      </c>
      <c r="D435" s="168" t="s">
        <v>103</v>
      </c>
      <c r="E435" s="342" t="str">
        <f>IF($D$433=$D$82,D435,VLOOKUP(B435,Auto_Etagedæk[],VLOOKUP($D$433,Type_Tung_Middel_Let[],2,0),0))</f>
        <v>Angiv ikke</v>
      </c>
      <c r="F435" s="11">
        <v>0.15</v>
      </c>
      <c r="G435" s="353"/>
      <c r="H435" s="351" t="str">
        <f>IFERROR(IF(VLOOKUP(B435&amp;"_"&amp;E435,'LCA data'!$B$7:$X$200,2,FALSE)&lt;$Y$24,1,0)+IF(VLOOKUP(B435&amp;"_"&amp;E435,'LCA data'!$B$7:$X$200,2,FALSE)*2&lt;$Y$24,1,0),"")</f>
        <v/>
      </c>
      <c r="I435" s="168" t="s">
        <v>103</v>
      </c>
      <c r="J435" s="342" t="str">
        <f>IF($I$433=$D$82,I435,VLOOKUP(B435,Auto_Etagedæk[],VLOOKUP($I$433,Type_Tung_Middel_Let[],2,0),0))</f>
        <v>Angiv ikke</v>
      </c>
      <c r="K435" s="11">
        <v>0.15</v>
      </c>
      <c r="L435" s="528"/>
      <c r="M435" s="515" t="str">
        <f>IFERROR(IF(VLOOKUP(B435&amp;"_"&amp;J435,'LCA data'!$B$7:$X$200,2,FALSE)&lt;$Y$24,1,0)+IF(VLOOKUP(B435&amp;"_"&amp;J435,'LCA data'!$B$7:$X$200,2,FALSE)*2&lt;$Y$24,1,0),"")</f>
        <v/>
      </c>
      <c r="N435" s="206">
        <f>W435/1000</f>
        <v>0</v>
      </c>
      <c r="O435" s="878"/>
      <c r="P435" s="207">
        <f>X435/1000</f>
        <v>0</v>
      </c>
      <c r="Q435" s="889"/>
      <c r="R435" s="192"/>
      <c r="S435" s="196"/>
      <c r="U435" s="251"/>
      <c r="V435" s="251"/>
      <c r="W435" s="323">
        <f>IF(E435="Angiv ikke",0,((1+H435)*VLOOKUP(B435&amp;"_"&amp;E435,'LCA data'!$B$7:$X$360,19,FALSE)*(F435*10^3)*C435))</f>
        <v>0</v>
      </c>
      <c r="X435" s="323">
        <f>IF(J435="Angiv ikke",0,((1+M435)*VLOOKUP(B435&amp;"_"&amp;J435,'LCA data'!$B$7:$X$360,19,FALSE)*(K435*10^3)*C435))</f>
        <v>0</v>
      </c>
      <c r="Y435" s="323"/>
      <c r="Z435" s="323"/>
      <c r="AA435" s="323" t="s">
        <v>5</v>
      </c>
      <c r="AB435" s="323">
        <f>AG435/$J$21/$Y$24*1000</f>
        <v>0</v>
      </c>
      <c r="AC435" s="323"/>
      <c r="AD435" s="323">
        <f>AB435+AC435</f>
        <v>0</v>
      </c>
      <c r="AE435" s="323" t="s">
        <v>5</v>
      </c>
      <c r="AF435" s="323"/>
      <c r="AG435" s="323">
        <f>X433/1000</f>
        <v>0</v>
      </c>
      <c r="AH435" s="323"/>
      <c r="AI435" s="323" t="s">
        <v>743</v>
      </c>
      <c r="AJ435" s="323">
        <f>SUM(AJ431:AJ434)</f>
        <v>0</v>
      </c>
      <c r="AK435" s="323">
        <f>SUM(AK431:AK434)</f>
        <v>0</v>
      </c>
      <c r="AL435" s="323"/>
      <c r="AM435" s="323"/>
      <c r="AN435" s="323">
        <f>IF(E435="Angiv ikke",0,((1+H435)*VLOOKUP(B435&amp;"_"&amp;E435,'LCA data'!$B$7:$X$360,20,FALSE)*(F435*10^3)*C435))</f>
        <v>0</v>
      </c>
      <c r="AO435" s="323">
        <f>IF(J435="Angiv ikke",0,((1+M435)*VLOOKUP(B435&amp;"_"&amp;J435,'LCA data'!$B$7:$X$360,20,FALSE)*(K435*10^3)*C435))</f>
        <v>0</v>
      </c>
      <c r="AP435" s="323"/>
      <c r="AQ435" s="323"/>
      <c r="AR435" s="323">
        <f>IF(E435="Angiv ikke",0,((1+H435)*VLOOKUP(B435&amp;"_"&amp;E435,'LCA data'!$B$7:$AA$360,26,FALSE)*(F435*10^3)*C435))</f>
        <v>0</v>
      </c>
      <c r="AS435" s="323">
        <f>IF(J435="Angiv ikke",0,((1+M435)*VLOOKUP(B435&amp;"_"&amp;J435,'LCA data'!$B$7:$AA$360,26,FALSE)*(K435*10^3)*C435))</f>
        <v>0</v>
      </c>
      <c r="AT435" s="323"/>
      <c r="AU435" s="323"/>
      <c r="AV435" s="323"/>
      <c r="AW435" s="323"/>
      <c r="AX435" s="323"/>
      <c r="AY435" s="323"/>
      <c r="AZ435" s="323"/>
      <c r="BA435" s="323"/>
      <c r="BB435" s="323"/>
      <c r="BC435" s="323"/>
      <c r="BD435" s="323"/>
      <c r="BE435" s="323"/>
      <c r="BF435" s="323"/>
      <c r="BG435" s="323"/>
      <c r="BH435" s="323"/>
      <c r="BI435" s="323"/>
      <c r="BJ435" s="323"/>
      <c r="BK435" s="323"/>
      <c r="BL435" s="323"/>
      <c r="BM435" s="323"/>
      <c r="BN435" s="323"/>
      <c r="BO435" s="323"/>
      <c r="BP435" s="323"/>
      <c r="BQ435" s="323"/>
      <c r="BR435" s="323"/>
      <c r="BS435" s="323"/>
      <c r="BT435" s="323"/>
      <c r="BU435" s="323"/>
      <c r="BV435" s="323"/>
      <c r="BW435" s="323"/>
      <c r="BX435" s="323"/>
      <c r="BY435" s="323"/>
      <c r="BZ435" s="323"/>
      <c r="CA435" s="323"/>
      <c r="CB435" s="323"/>
      <c r="CC435" s="323"/>
      <c r="CD435" s="323"/>
      <c r="CE435" s="323"/>
      <c r="CF435" s="323"/>
      <c r="CG435" s="323"/>
      <c r="CH435" s="323"/>
      <c r="CI435" s="323"/>
      <c r="CJ435" s="323"/>
      <c r="CK435" s="323"/>
      <c r="CL435" s="323"/>
      <c r="CM435" s="323"/>
      <c r="CN435" s="323"/>
      <c r="CO435" s="323"/>
      <c r="CP435" s="439"/>
      <c r="CQ435" s="440"/>
      <c r="CR435" s="323"/>
      <c r="CS435" s="323"/>
      <c r="CT435" s="323"/>
      <c r="CU435" s="323"/>
      <c r="CV435" s="323"/>
      <c r="CW435" s="323"/>
      <c r="CX435" s="323"/>
      <c r="CY435" s="323"/>
      <c r="CZ435" s="323"/>
    </row>
    <row r="436" spans="2:222" ht="40.4" hidden="1" customHeight="1" outlineLevel="1" x14ac:dyDescent="0.35">
      <c r="B436" s="205" t="str">
        <f>'LCA data'!$B$138</f>
        <v>Etagedæk</v>
      </c>
      <c r="C436" s="465">
        <f t="shared" si="27"/>
        <v>0</v>
      </c>
      <c r="D436" s="169" t="s">
        <v>103</v>
      </c>
      <c r="E436" s="342" t="str">
        <f>IF($D$433=$D$82,D436,VLOOKUP(B436,Auto_Etagedæk[],VLOOKUP($D$433,Type_Tung_Middel_Let[],2,0),0))</f>
        <v>Angiv ikke</v>
      </c>
      <c r="F436" s="172">
        <f>VLOOKUP(E436,Pris.Etagedæk[],4,0)/1000</f>
        <v>0</v>
      </c>
      <c r="G436" s="350"/>
      <c r="H436" s="351" t="str">
        <f>IFERROR(IF(VLOOKUP(B436&amp;"_"&amp;E436,'LCA data'!$B$7:$X$360,2,FALSE)&lt;$Y$24,1,0)+IF(VLOOKUP(B436&amp;"_"&amp;E436,'LCA data'!$B$7:$X$360,2,FALSE)*2&lt;$Y$24,1,0),"")</f>
        <v/>
      </c>
      <c r="I436" s="169" t="s">
        <v>103</v>
      </c>
      <c r="J436" s="342" t="str">
        <f>IF($I$433=$D$82,I436,VLOOKUP(B436,Auto_Etagedæk[],VLOOKUP($I$433,Type_Tung_Middel_Let[],2,0),0))</f>
        <v>Angiv ikke</v>
      </c>
      <c r="K436" s="172">
        <f>VLOOKUP(J436,Pris.Etagedæk[],4,0)/1000</f>
        <v>0</v>
      </c>
      <c r="L436" s="514"/>
      <c r="M436" s="515" t="str">
        <f>IFERROR(IF(VLOOKUP(B436&amp;"_"&amp;J436,'LCA data'!$B$7:$X$360,2,FALSE)&lt;$Y$24,1,0)+IF(VLOOKUP(B436&amp;"_"&amp;J436,'LCA data'!$B$7:$X$360,2,FALSE)*2&lt;$Y$24,1,0),"")</f>
        <v/>
      </c>
      <c r="N436" s="206">
        <f>W436/1000</f>
        <v>0</v>
      </c>
      <c r="O436" s="878"/>
      <c r="P436" s="207">
        <f>X436/1000</f>
        <v>0</v>
      </c>
      <c r="Q436" s="889"/>
      <c r="R436" s="192"/>
      <c r="S436" s="196"/>
      <c r="U436" s="251"/>
      <c r="V436" s="251"/>
      <c r="W436" s="323">
        <f>IF(E436="Angiv ikke",0,((1+H436)*VLOOKUP(B436&amp;"_"&amp;E436,'LCA data'!$B$7:$X$360,19,FALSE)*(F436*10^3)*C436))</f>
        <v>0</v>
      </c>
      <c r="X436" s="323">
        <f>IF(J436="Angiv ikke",0,((1+M436)*VLOOKUP(B436&amp;"_"&amp;J436,'LCA data'!$B$7:$X$360,19,FALSE)*(K436*10^3)*C436))</f>
        <v>0</v>
      </c>
      <c r="Y436" s="323"/>
      <c r="Z436" s="323"/>
      <c r="AA436" s="323"/>
      <c r="AB436" s="323"/>
      <c r="AC436" s="323"/>
      <c r="AD436" s="323"/>
      <c r="AE436" s="323"/>
      <c r="AF436" s="323"/>
      <c r="AG436" s="323"/>
      <c r="AH436" s="323"/>
      <c r="AI436" s="323"/>
      <c r="AJ436" s="323"/>
      <c r="AK436" s="323"/>
      <c r="AL436" s="323"/>
      <c r="AM436" s="323"/>
      <c r="AN436" s="323">
        <f>IF(E436="Angiv ikke",0,((1+H436)*VLOOKUP(B436&amp;"_"&amp;E436,'LCA data'!$B$7:$X$360,20,FALSE)*(F436*10^3)*C436))</f>
        <v>0</v>
      </c>
      <c r="AO436" s="323">
        <f>IF(J436="Angiv ikke",0,((1+M436)*VLOOKUP(B436&amp;"_"&amp;J436,'LCA data'!$B$7:$X$360,20,FALSE)*(K436*10^3)*C436))</f>
        <v>0</v>
      </c>
      <c r="AP436" s="323"/>
      <c r="AQ436" s="323"/>
      <c r="AR436" s="323">
        <f>IF(E436="Angiv ikke",0,((1+H436)*VLOOKUP(B436&amp;"_"&amp;E436,'LCA data'!$B$7:$AA$360,26,FALSE)*(F436*10^3)*C436))</f>
        <v>0</v>
      </c>
      <c r="AS436" s="323">
        <f>IF(J436="Angiv ikke",0,((1+M436)*VLOOKUP(B436&amp;"_"&amp;J436,'LCA data'!$B$7:$AA$360,26,FALSE)*(K436*10^3)*C436))</f>
        <v>0</v>
      </c>
      <c r="AT436" s="323"/>
      <c r="AU436" s="323"/>
      <c r="AV436" s="323"/>
      <c r="AW436" s="323"/>
      <c r="AX436" s="323"/>
      <c r="AY436" s="323"/>
      <c r="AZ436" s="323"/>
      <c r="BA436" s="323"/>
      <c r="BB436" s="323"/>
      <c r="BC436" s="323"/>
      <c r="BD436" s="323"/>
      <c r="BE436" s="323"/>
      <c r="BF436" s="323"/>
      <c r="BG436" s="323"/>
      <c r="BH436" s="323"/>
      <c r="BI436" s="323"/>
      <c r="BJ436" s="323"/>
      <c r="BK436" s="323"/>
      <c r="BL436" s="323"/>
      <c r="BM436" s="323"/>
      <c r="BN436" s="323"/>
      <c r="BO436" s="323"/>
      <c r="BP436" s="323"/>
      <c r="BQ436" s="323"/>
      <c r="BR436" s="323"/>
      <c r="BS436" s="323"/>
      <c r="BT436" s="323"/>
      <c r="BU436" s="323"/>
      <c r="BV436" s="323"/>
      <c r="BW436" s="323"/>
      <c r="BX436" s="323"/>
      <c r="BY436" s="323"/>
      <c r="BZ436" s="323"/>
      <c r="CA436" s="323"/>
      <c r="CB436" s="323"/>
      <c r="CC436" s="323"/>
      <c r="CD436" s="323"/>
      <c r="CE436" s="323"/>
      <c r="CF436" s="323"/>
      <c r="CG436" s="323"/>
      <c r="CH436" s="323"/>
      <c r="CI436" s="323"/>
      <c r="CJ436" s="323"/>
      <c r="CK436" s="323"/>
      <c r="CL436" s="323"/>
      <c r="CM436" s="323"/>
      <c r="CN436" s="323"/>
      <c r="CO436" s="323"/>
      <c r="CP436" s="439"/>
      <c r="CQ436" s="440"/>
      <c r="CR436" s="323"/>
      <c r="CS436" s="323"/>
      <c r="CT436" s="323"/>
      <c r="CU436" s="323"/>
      <c r="CV436" s="323"/>
      <c r="CW436" s="323"/>
      <c r="CX436" s="323"/>
      <c r="CY436" s="323"/>
      <c r="CZ436" s="323"/>
    </row>
    <row r="437" spans="2:222" ht="40.4" hidden="1" customHeight="1" outlineLevel="1" thickBot="1" x14ac:dyDescent="0.4">
      <c r="B437" s="209" t="str">
        <f>$B$145</f>
        <v>Loftsbeklædning</v>
      </c>
      <c r="C437" s="464">
        <f t="shared" si="27"/>
        <v>0</v>
      </c>
      <c r="D437" s="171" t="s">
        <v>103</v>
      </c>
      <c r="E437" s="344" t="str">
        <f>IF($D$433=$D$82,D437,VLOOKUP(B437,Auto_Etagedæk[],VLOOKUP($D$433,Type_Tung_Middel_Let[],2,0),0))</f>
        <v>Angiv ikke</v>
      </c>
      <c r="F437" s="474">
        <f>(VLOOKUP(E437,Pris.loft.beklædning[],4,0))/1000</f>
        <v>0</v>
      </c>
      <c r="G437" s="354"/>
      <c r="H437" s="355" t="str">
        <f>IFERROR(IF(VLOOKUP(B437&amp;"_"&amp;E437,'LCA data'!$B$7:$X$200,2,FALSE)&lt;$Y$24,1,0)+IF(VLOOKUP(B437&amp;"_"&amp;E437,'LCA data'!$B$7:$X$200,2,FALSE)*2&lt;$Y$24,1,0),"")</f>
        <v/>
      </c>
      <c r="I437" s="171" t="s">
        <v>103</v>
      </c>
      <c r="J437" s="344" t="str">
        <f>IF($I$433=$D$82,I437,VLOOKUP(B437,Auto_Etagedæk[],VLOOKUP($I$433,Type_Tung_Middel_Let[],2,0),0))</f>
        <v>Angiv ikke</v>
      </c>
      <c r="K437" s="522">
        <f>(VLOOKUP(J437,Pris.loft.beklædning[],4,0))/1000</f>
        <v>0</v>
      </c>
      <c r="L437" s="519"/>
      <c r="M437" s="520" t="str">
        <f>IFERROR(IF(VLOOKUP(B437&amp;"_"&amp;J437,'LCA data'!$B$7:$X$200,2,FALSE)&lt;$Y$24,1,0)+IF(VLOOKUP(B437&amp;"_"&amp;J437,'LCA data'!$B$7:$X$200,2,FALSE)*2&lt;$Y$24,1,0),"")</f>
        <v/>
      </c>
      <c r="N437" s="210">
        <f>W437/1000</f>
        <v>0</v>
      </c>
      <c r="O437" s="879"/>
      <c r="P437" s="211">
        <f>X437/1000</f>
        <v>0</v>
      </c>
      <c r="Q437" s="890"/>
      <c r="R437" s="212"/>
      <c r="S437" s="213"/>
      <c r="U437" s="251"/>
      <c r="V437" s="251"/>
      <c r="W437" s="323">
        <f>IF(E437="Angiv ikke",0,((1+H437)*VLOOKUP(B437&amp;"_"&amp;E437,'LCA data'!$B$7:$X$360,19,FALSE)*(F437*10^3)*C437))</f>
        <v>0</v>
      </c>
      <c r="X437" s="323">
        <f>IF(J437="Angiv ikke",0,((1+M437)*VLOOKUP(B437&amp;"_"&amp;J437,'LCA data'!$B$7:$X$360,19,FALSE)*(K437*10^3)*C437))</f>
        <v>0</v>
      </c>
      <c r="Y437" s="323"/>
      <c r="Z437" s="323"/>
      <c r="AA437" s="323"/>
      <c r="AB437" s="323"/>
      <c r="AC437" s="323"/>
      <c r="AD437" s="323"/>
      <c r="AE437" s="323"/>
      <c r="AF437" s="323"/>
      <c r="AG437" s="323"/>
      <c r="AH437" s="323"/>
      <c r="AI437" s="323"/>
      <c r="AJ437" s="323"/>
      <c r="AK437" s="323"/>
      <c r="AL437" s="323"/>
      <c r="AM437" s="323"/>
      <c r="AN437" s="323">
        <f>IF(E437="Angiv ikke",0,((1+H437)*VLOOKUP(B437&amp;"_"&amp;E437,'LCA data'!$B$7:$X$360,20,FALSE)*(F437*10^3)*C437))</f>
        <v>0</v>
      </c>
      <c r="AO437" s="323">
        <f>IF(J437="Angiv ikke",0,((1+M437)*VLOOKUP(B437&amp;"_"&amp;J437,'LCA data'!$B$7:$X$360,20,FALSE)*(K437*10^3)*C437))</f>
        <v>0</v>
      </c>
      <c r="AP437" s="323"/>
      <c r="AQ437" s="323"/>
      <c r="AR437" s="323">
        <f>IF(E437="Angiv ikke",0,((1+H437)*VLOOKUP(B437&amp;"_"&amp;E437,'LCA data'!$B$7:$AA$360,26,FALSE)*(F437*10^3)*C437))</f>
        <v>0</v>
      </c>
      <c r="AS437" s="323">
        <f>IF(J437="Angiv ikke",0,((1+M437)*VLOOKUP(B437&amp;"_"&amp;J437,'LCA data'!$B$7:$AA$360,26,FALSE)*(K437*10^3)*C437))</f>
        <v>0</v>
      </c>
      <c r="AT437" s="323"/>
      <c r="AU437" s="323"/>
      <c r="AV437" s="323"/>
      <c r="AW437" s="323"/>
      <c r="AX437" s="323"/>
      <c r="AY437" s="323"/>
      <c r="AZ437" s="323"/>
      <c r="BA437" s="323"/>
      <c r="BB437" s="323"/>
      <c r="BC437" s="323"/>
      <c r="BD437" s="323"/>
      <c r="BE437" s="323"/>
      <c r="BF437" s="323"/>
      <c r="BG437" s="323"/>
      <c r="BH437" s="323"/>
      <c r="BI437" s="323"/>
      <c r="BJ437" s="323"/>
      <c r="BK437" s="323"/>
      <c r="BL437" s="323"/>
      <c r="BM437" s="323"/>
      <c r="BN437" s="323"/>
      <c r="BO437" s="323"/>
      <c r="BP437" s="323"/>
      <c r="BQ437" s="323"/>
      <c r="BR437" s="323"/>
      <c r="BS437" s="323"/>
      <c r="BT437" s="323"/>
      <c r="BU437" s="323"/>
      <c r="BV437" s="323"/>
      <c r="BW437" s="323"/>
      <c r="BX437" s="323"/>
      <c r="BY437" s="323"/>
      <c r="BZ437" s="323"/>
      <c r="CA437" s="323"/>
      <c r="CB437" s="323"/>
      <c r="CC437" s="323"/>
      <c r="CD437" s="323"/>
      <c r="CE437" s="323"/>
      <c r="CF437" s="323"/>
      <c r="CG437" s="323"/>
      <c r="CH437" s="323"/>
      <c r="CI437" s="323"/>
      <c r="CJ437" s="323"/>
      <c r="CK437" s="323"/>
      <c r="CL437" s="323"/>
      <c r="CM437" s="323"/>
      <c r="CN437" s="323"/>
      <c r="CO437" s="323"/>
      <c r="CP437" s="428"/>
      <c r="CQ437" s="441"/>
      <c r="CR437" s="323"/>
      <c r="CS437" s="323"/>
      <c r="CT437" s="323"/>
      <c r="CU437" s="323"/>
      <c r="CV437" s="323"/>
      <c r="CW437" s="323"/>
      <c r="CX437" s="323"/>
      <c r="CY437" s="323"/>
      <c r="CZ437" s="323"/>
    </row>
    <row r="438" spans="2:222" ht="17.149999999999999" hidden="1" customHeight="1" outlineLevel="1" x14ac:dyDescent="0.35">
      <c r="B438" s="173" t="s">
        <v>130</v>
      </c>
      <c r="C438" s="217"/>
      <c r="E438" s="217"/>
      <c r="F438" s="217"/>
      <c r="G438" s="217"/>
      <c r="H438" s="217"/>
      <c r="J438" s="217"/>
      <c r="K438" s="217"/>
      <c r="L438" s="217"/>
      <c r="M438" s="217"/>
      <c r="N438" s="217"/>
      <c r="O438" s="217"/>
      <c r="P438" s="217"/>
      <c r="Q438" s="217"/>
      <c r="R438" s="217"/>
      <c r="U438" s="251"/>
      <c r="V438" s="251"/>
      <c r="W438" s="323">
        <f>IFERROR(IF(OR(E438="Angiv ikke",J438="Angiv ikke"),0,(VLOOKUP(B438&amp;"_"&amp;J438,'LCA data'!$B$7:$X$2106,19,FALSE)+M438*VLOOKUP(B438&amp;"_"&amp;J438,'LCA data'!$B$7:$X$2106,19,FALSE))*(K438*10^3)*C438),0)</f>
        <v>0</v>
      </c>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c r="AU438" s="323"/>
      <c r="AV438" s="323"/>
      <c r="AW438" s="323"/>
      <c r="AX438" s="323"/>
      <c r="AY438" s="323"/>
      <c r="AZ438" s="323"/>
      <c r="BA438" s="323"/>
      <c r="BB438" s="323"/>
      <c r="BC438" s="323"/>
      <c r="BD438" s="323"/>
      <c r="BE438" s="323"/>
      <c r="BF438" s="323"/>
      <c r="BG438" s="323"/>
      <c r="BH438" s="323"/>
      <c r="BI438" s="323"/>
      <c r="BJ438" s="323"/>
      <c r="BK438" s="323"/>
      <c r="BL438" s="323"/>
      <c r="BM438" s="323"/>
      <c r="BN438" s="323"/>
      <c r="BO438" s="323"/>
      <c r="BP438" s="323"/>
      <c r="BQ438" s="323"/>
      <c r="BR438" s="323"/>
      <c r="BS438" s="323"/>
      <c r="BT438" s="323"/>
      <c r="BU438" s="323"/>
      <c r="BV438" s="323"/>
      <c r="BW438" s="323"/>
      <c r="BX438" s="323"/>
      <c r="BY438" s="323"/>
      <c r="BZ438" s="323"/>
      <c r="CA438" s="323"/>
      <c r="CB438" s="323"/>
      <c r="CC438" s="323"/>
      <c r="CD438" s="323"/>
      <c r="CE438" s="323"/>
      <c r="CF438" s="323"/>
      <c r="CG438" s="323"/>
      <c r="CH438" s="323"/>
      <c r="CI438" s="323"/>
      <c r="CJ438" s="323"/>
      <c r="CK438" s="323"/>
      <c r="CL438" s="323"/>
      <c r="CM438" s="323"/>
      <c r="CN438" s="323"/>
      <c r="CO438" s="323"/>
      <c r="CP438" s="439"/>
      <c r="CQ438" s="446"/>
      <c r="CR438" s="323"/>
      <c r="CS438" s="323"/>
      <c r="CT438" s="323"/>
      <c r="CU438" s="323"/>
      <c r="CV438" s="323"/>
      <c r="CW438" s="323"/>
      <c r="CX438" s="323"/>
      <c r="CY438" s="323"/>
      <c r="CZ438" s="323"/>
    </row>
    <row r="439" spans="2:222" ht="17.149999999999999" customHeight="1" collapsed="1" x14ac:dyDescent="0.35">
      <c r="B439" s="542"/>
      <c r="C439" s="558"/>
      <c r="D439" s="542"/>
      <c r="E439" s="558"/>
      <c r="F439" s="558"/>
      <c r="G439" s="558"/>
      <c r="H439" s="558"/>
      <c r="I439" s="542"/>
      <c r="J439" s="558"/>
      <c r="K439" s="558"/>
      <c r="L439" s="558"/>
      <c r="M439" s="558"/>
      <c r="N439" s="217"/>
      <c r="O439" s="217"/>
      <c r="P439" s="217"/>
      <c r="Q439" s="217"/>
      <c r="R439" s="217"/>
      <c r="U439" s="251"/>
      <c r="V439" s="251"/>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c r="AU439" s="323"/>
      <c r="AV439" s="323"/>
      <c r="AW439" s="323"/>
      <c r="AX439" s="323"/>
      <c r="AY439" s="323"/>
      <c r="AZ439" s="323"/>
      <c r="BA439" s="323"/>
      <c r="BB439" s="323"/>
      <c r="BC439" s="323"/>
      <c r="BD439" s="323"/>
      <c r="BE439" s="323"/>
      <c r="BF439" s="323"/>
      <c r="BG439" s="323"/>
      <c r="BH439" s="323"/>
      <c r="BI439" s="323"/>
      <c r="BJ439" s="323"/>
      <c r="BK439" s="323"/>
      <c r="BL439" s="323"/>
      <c r="BM439" s="323"/>
      <c r="BN439" s="323"/>
      <c r="BO439" s="323"/>
      <c r="BP439" s="323"/>
      <c r="BQ439" s="323"/>
      <c r="BR439" s="323"/>
      <c r="BS439" s="323"/>
      <c r="BT439" s="323"/>
      <c r="BU439" s="323"/>
      <c r="BV439" s="323"/>
      <c r="BW439" s="323"/>
      <c r="BX439" s="323"/>
      <c r="BY439" s="323"/>
      <c r="BZ439" s="323"/>
      <c r="CA439" s="323"/>
      <c r="CB439" s="323"/>
      <c r="CC439" s="323"/>
      <c r="CD439" s="323"/>
      <c r="CE439" s="323"/>
      <c r="CF439" s="323"/>
      <c r="CG439" s="323"/>
      <c r="CH439" s="323"/>
      <c r="CI439" s="323"/>
      <c r="CJ439" s="323"/>
      <c r="CK439" s="323"/>
      <c r="CL439" s="323"/>
      <c r="CM439" s="323"/>
      <c r="CN439" s="323"/>
      <c r="CO439" s="323"/>
      <c r="CP439" s="439"/>
      <c r="CQ439" s="440"/>
      <c r="CR439" s="323"/>
      <c r="CS439" s="323"/>
      <c r="CT439" s="323"/>
      <c r="CU439" s="323"/>
      <c r="CV439" s="323"/>
      <c r="CW439" s="323"/>
      <c r="CX439" s="323"/>
      <c r="CY439" s="323"/>
      <c r="CZ439" s="323"/>
    </row>
    <row r="440" spans="2:222" ht="29.25" hidden="1" customHeight="1" outlineLevel="1" x14ac:dyDescent="0.7">
      <c r="B440" s="493" t="s">
        <v>112</v>
      </c>
      <c r="C440" s="506"/>
      <c r="D440" s="506"/>
      <c r="E440" s="506" t="s">
        <v>39</v>
      </c>
      <c r="F440" s="499"/>
      <c r="G440" s="499"/>
      <c r="H440" s="499"/>
      <c r="I440" s="500" t="str">
        <f>"Etagedæk"&amp;" "&amp;5</f>
        <v>Etagedæk 5</v>
      </c>
      <c r="J440" s="500"/>
      <c r="K440" s="499"/>
      <c r="L440" s="499"/>
      <c r="M440" s="499"/>
      <c r="N440" s="499"/>
      <c r="O440" s="499"/>
      <c r="P440" s="499"/>
      <c r="Q440" s="501"/>
      <c r="R440" s="409"/>
      <c r="S440" s="191"/>
      <c r="U440" s="251"/>
      <c r="V440" s="251"/>
      <c r="W440" s="323">
        <f>IF(D443=$D$82,1,0)</f>
        <v>1</v>
      </c>
      <c r="X440" s="323">
        <f>IF(I443=$D$82,1,0)</f>
        <v>1</v>
      </c>
      <c r="Y440" s="323"/>
      <c r="Z440" s="323"/>
      <c r="AA440" s="323"/>
      <c r="AB440" s="323"/>
      <c r="AC440" s="323"/>
      <c r="AD440" s="323"/>
      <c r="AE440" s="323"/>
      <c r="AF440" s="323"/>
      <c r="AG440" s="323"/>
      <c r="AH440" s="323"/>
      <c r="AI440" s="323"/>
      <c r="AJ440" s="323" t="s">
        <v>746</v>
      </c>
      <c r="AK440" s="323" t="s">
        <v>747</v>
      </c>
      <c r="AL440" s="323"/>
      <c r="AM440" s="323"/>
      <c r="AN440" s="323" t="s">
        <v>846</v>
      </c>
      <c r="AO440" s="323"/>
      <c r="AP440" s="323"/>
      <c r="AQ440" s="323"/>
      <c r="AR440" s="323" t="s">
        <v>851</v>
      </c>
      <c r="AS440" s="323"/>
      <c r="AT440" s="323"/>
      <c r="AU440" s="323"/>
      <c r="AV440" s="323"/>
      <c r="AW440" s="323"/>
      <c r="AX440" s="323"/>
      <c r="AY440" s="323"/>
      <c r="AZ440" s="323"/>
      <c r="BA440" s="323"/>
      <c r="BB440" s="323"/>
      <c r="BC440" s="323"/>
      <c r="BD440" s="323"/>
      <c r="BE440" s="323"/>
      <c r="BF440" s="323"/>
      <c r="BG440" s="323"/>
      <c r="BH440" s="323"/>
      <c r="BI440" s="323"/>
      <c r="BJ440" s="323"/>
      <c r="BK440" s="323"/>
      <c r="BL440" s="323"/>
      <c r="BM440" s="323"/>
      <c r="BN440" s="323"/>
      <c r="BO440" s="323"/>
      <c r="BP440" s="323"/>
      <c r="BQ440" s="323"/>
      <c r="BR440" s="323"/>
      <c r="BS440" s="323"/>
      <c r="BT440" s="323"/>
      <c r="BU440" s="323"/>
      <c r="BV440" s="323"/>
      <c r="BW440" s="323"/>
      <c r="BX440" s="323"/>
      <c r="BY440" s="323"/>
      <c r="BZ440" s="323"/>
      <c r="CA440" s="323"/>
      <c r="CB440" s="323"/>
      <c r="CC440" s="323"/>
      <c r="CD440" s="323"/>
      <c r="CE440" s="323"/>
      <c r="CF440" s="323"/>
      <c r="CG440" s="323"/>
      <c r="CH440" s="323"/>
      <c r="CI440" s="323"/>
      <c r="CJ440" s="323"/>
      <c r="CK440" s="323"/>
      <c r="CL440" s="323"/>
      <c r="CM440" s="323"/>
      <c r="CN440" s="323"/>
      <c r="CO440" s="323"/>
      <c r="CP440" s="447"/>
      <c r="CQ440" s="448"/>
      <c r="CR440" s="323"/>
      <c r="CS440" s="323"/>
      <c r="CT440" s="323"/>
      <c r="CU440" s="323"/>
      <c r="CV440" s="323"/>
      <c r="CW440" s="323"/>
      <c r="CX440" s="323"/>
      <c r="CY440" s="323"/>
      <c r="CZ440" s="323"/>
    </row>
    <row r="441" spans="2:222" ht="40.4" hidden="1" customHeight="1" outlineLevel="1" x14ac:dyDescent="0.35">
      <c r="B441" s="359" t="s">
        <v>78</v>
      </c>
      <c r="C441" s="195" t="s">
        <v>80</v>
      </c>
      <c r="D441" s="910" t="s">
        <v>4</v>
      </c>
      <c r="E441" s="911"/>
      <c r="F441" s="911"/>
      <c r="G441" s="911"/>
      <c r="H441" s="912"/>
      <c r="I441" s="885" t="s">
        <v>5</v>
      </c>
      <c r="J441" s="886"/>
      <c r="K441" s="886"/>
      <c r="L441" s="886"/>
      <c r="M441" s="887"/>
      <c r="N441" s="877" t="s">
        <v>79</v>
      </c>
      <c r="O441" s="877"/>
      <c r="P441" s="877"/>
      <c r="Q441" s="881"/>
      <c r="R441" s="192"/>
      <c r="S441" s="411"/>
      <c r="T441" s="175"/>
      <c r="U441" s="251"/>
      <c r="V441" s="251"/>
      <c r="W441" s="323"/>
      <c r="X441" s="323"/>
      <c r="Y441" s="323"/>
      <c r="Z441" s="323"/>
      <c r="AA441" s="323"/>
      <c r="AB441" s="323"/>
      <c r="AC441" s="323"/>
      <c r="AD441" s="323"/>
      <c r="AE441" s="323"/>
      <c r="AF441" s="323"/>
      <c r="AG441" s="323"/>
      <c r="AH441" s="323"/>
      <c r="AI441" s="323" t="s">
        <v>338</v>
      </c>
      <c r="AJ441" s="323">
        <f>VLOOKUP(E444,Pris.gulv.belægning[],2,0)*C444</f>
        <v>0</v>
      </c>
      <c r="AK441" s="323">
        <f>VLOOKUP(J444,Pris.gulv.belægning[],2,0)*C444</f>
        <v>0</v>
      </c>
      <c r="AL441" s="323"/>
      <c r="AM441" s="323"/>
      <c r="AN441" s="323" t="s">
        <v>4</v>
      </c>
      <c r="AO441" s="323" t="s">
        <v>5</v>
      </c>
      <c r="AP441" s="323"/>
      <c r="AQ441" s="323"/>
      <c r="AR441" s="323" t="s">
        <v>4</v>
      </c>
      <c r="AS441" s="323" t="s">
        <v>5</v>
      </c>
      <c r="AT441" s="323"/>
      <c r="AU441" s="323"/>
      <c r="AV441" s="323"/>
      <c r="AW441" s="323"/>
      <c r="AX441" s="323"/>
      <c r="AY441" s="323"/>
      <c r="AZ441" s="323"/>
      <c r="BA441" s="323"/>
      <c r="BB441" s="323"/>
      <c r="BC441" s="323"/>
      <c r="BD441" s="323"/>
      <c r="BE441" s="323"/>
      <c r="BF441" s="323"/>
      <c r="BG441" s="323"/>
      <c r="BH441" s="323"/>
      <c r="BI441" s="323"/>
      <c r="BJ441" s="323"/>
      <c r="BK441" s="323"/>
      <c r="BL441" s="323"/>
      <c r="BM441" s="323"/>
      <c r="BN441" s="323"/>
      <c r="BO441" s="323"/>
      <c r="BP441" s="323"/>
      <c r="BQ441" s="323"/>
      <c r="BR441" s="323"/>
      <c r="BS441" s="323"/>
      <c r="BT441" s="323"/>
      <c r="BU441" s="323"/>
      <c r="BV441" s="323"/>
      <c r="BW441" s="323"/>
      <c r="BX441" s="323"/>
      <c r="BY441" s="323"/>
      <c r="BZ441" s="323"/>
      <c r="CA441" s="323"/>
      <c r="CB441" s="323"/>
      <c r="CC441" s="323"/>
      <c r="CD441" s="323"/>
      <c r="CE441" s="323"/>
      <c r="CF441" s="323"/>
      <c r="CG441" s="323"/>
      <c r="CH441" s="323"/>
      <c r="CI441" s="323"/>
      <c r="CJ441" s="323"/>
      <c r="CK441" s="323"/>
      <c r="CL441" s="323"/>
      <c r="CM441" s="323"/>
      <c r="CN441" s="323"/>
      <c r="CO441" s="323"/>
      <c r="CP441" s="439"/>
      <c r="CQ441" s="440"/>
      <c r="CR441" s="323"/>
      <c r="CS441" s="323"/>
      <c r="CT441" s="323"/>
      <c r="CU441" s="323"/>
      <c r="CV441" s="323"/>
      <c r="CW441" s="323"/>
      <c r="CX441" s="323"/>
      <c r="CY441" s="323"/>
      <c r="CZ441" s="323"/>
    </row>
    <row r="442" spans="2:222" ht="47.15" hidden="1" customHeight="1" outlineLevel="1" x14ac:dyDescent="0.35">
      <c r="B442" s="194"/>
      <c r="C442" s="665">
        <v>0</v>
      </c>
      <c r="D442" s="908" t="s">
        <v>797</v>
      </c>
      <c r="E442" s="909"/>
      <c r="F442" s="338" t="s">
        <v>82</v>
      </c>
      <c r="G442" s="338"/>
      <c r="H442" s="346" t="s">
        <v>84</v>
      </c>
      <c r="I442" s="913" t="s">
        <v>797</v>
      </c>
      <c r="J442" s="914"/>
      <c r="K442" s="479" t="s">
        <v>82</v>
      </c>
      <c r="L442" s="479"/>
      <c r="M442" s="508" t="s">
        <v>84</v>
      </c>
      <c r="N442" s="195" t="s">
        <v>4</v>
      </c>
      <c r="O442" s="195" t="s">
        <v>85</v>
      </c>
      <c r="P442" s="195" t="s">
        <v>5</v>
      </c>
      <c r="Q442" s="357" t="s">
        <v>86</v>
      </c>
      <c r="R442" s="192"/>
      <c r="S442" s="193"/>
      <c r="U442" s="251"/>
      <c r="V442" s="251"/>
      <c r="W442" s="323" t="s">
        <v>87</v>
      </c>
      <c r="X442" s="323" t="s">
        <v>88</v>
      </c>
      <c r="Y442" s="323"/>
      <c r="Z442" s="323"/>
      <c r="AA442" s="323" t="s">
        <v>91</v>
      </c>
      <c r="AB442" s="323"/>
      <c r="AC442" s="323"/>
      <c r="AD442" s="323"/>
      <c r="AE442" s="323" t="s">
        <v>92</v>
      </c>
      <c r="AF442" s="323"/>
      <c r="AG442" s="323"/>
      <c r="AH442" s="323"/>
      <c r="AI442" s="323" t="str">
        <f>'LCA data'!$B$32</f>
        <v>Isolering</v>
      </c>
      <c r="AJ442" s="323">
        <f>VLOOKUP(E445,Pris.isolering[],2,0)*F445*C445</f>
        <v>0</v>
      </c>
      <c r="AK442" s="323">
        <f>VLOOKUP(J445,Pris.isolering[],2,0)*K445*C445</f>
        <v>0</v>
      </c>
      <c r="AL442" s="323"/>
      <c r="AM442" s="323"/>
      <c r="AN442" s="323">
        <f>SUM(AN444:AN448)</f>
        <v>0</v>
      </c>
      <c r="AO442" s="323">
        <f>SUM(AO444:AO448)</f>
        <v>0</v>
      </c>
      <c r="AP442" s="323"/>
      <c r="AQ442" s="323"/>
      <c r="AR442" s="323">
        <f>SUM(AR444:AR447)</f>
        <v>0</v>
      </c>
      <c r="AS442" s="323">
        <f>SUM(AS444:AS447)</f>
        <v>0</v>
      </c>
      <c r="AT442" s="323"/>
      <c r="AU442" s="323"/>
      <c r="AV442" s="323"/>
      <c r="AW442" s="323"/>
      <c r="AX442" s="323"/>
      <c r="AY442" s="323"/>
      <c r="AZ442" s="323"/>
      <c r="BA442" s="323"/>
      <c r="BB442" s="323"/>
      <c r="BC442" s="323"/>
      <c r="BD442" s="323"/>
      <c r="BE442" s="323"/>
      <c r="BF442" s="323"/>
      <c r="BG442" s="323"/>
      <c r="BH442" s="323"/>
      <c r="BI442" s="323"/>
      <c r="BJ442" s="323"/>
      <c r="BK442" s="323"/>
      <c r="BL442" s="323"/>
      <c r="BM442" s="323"/>
      <c r="BN442" s="323"/>
      <c r="BO442" s="323"/>
      <c r="BP442" s="323"/>
      <c r="BQ442" s="323"/>
      <c r="BR442" s="323"/>
      <c r="BS442" s="323"/>
      <c r="BT442" s="323"/>
      <c r="BU442" s="323"/>
      <c r="BV442" s="323"/>
      <c r="BW442" s="323"/>
      <c r="BX442" s="323"/>
      <c r="BY442" s="323"/>
      <c r="BZ442" s="323"/>
      <c r="CA442" s="323"/>
      <c r="CB442" s="323"/>
      <c r="CC442" s="323"/>
      <c r="CD442" s="323"/>
      <c r="CE442" s="323"/>
      <c r="CF442" s="323"/>
      <c r="CG442" s="323"/>
      <c r="CH442" s="323"/>
      <c r="CI442" s="323"/>
      <c r="CJ442" s="323"/>
      <c r="CK442" s="323"/>
      <c r="CL442" s="323"/>
      <c r="CM442" s="323"/>
      <c r="CN442" s="323"/>
      <c r="CO442" s="323"/>
      <c r="CP442" s="439"/>
      <c r="CQ442" s="440"/>
      <c r="CR442" s="323"/>
      <c r="CS442" s="323"/>
      <c r="CT442" s="323"/>
      <c r="CU442" s="323"/>
      <c r="CV442" s="323"/>
      <c r="CW442" s="323"/>
      <c r="CX442" s="323"/>
      <c r="CY442" s="323"/>
      <c r="CZ442" s="323"/>
    </row>
    <row r="443" spans="2:222" s="198" customFormat="1" ht="26" hidden="1" customHeight="1" outlineLevel="1" x14ac:dyDescent="0.35">
      <c r="B443" s="199"/>
      <c r="C443" s="200" t="s">
        <v>93</v>
      </c>
      <c r="D443" s="915" t="s">
        <v>811</v>
      </c>
      <c r="E443" s="915"/>
      <c r="F443" s="347" t="s">
        <v>94</v>
      </c>
      <c r="G443" s="348"/>
      <c r="H443" s="349" t="s">
        <v>96</v>
      </c>
      <c r="I443" s="915" t="s">
        <v>811</v>
      </c>
      <c r="J443" s="915"/>
      <c r="K443" s="510" t="s">
        <v>94</v>
      </c>
      <c r="L443" s="511"/>
      <c r="M443" s="512" t="s">
        <v>96</v>
      </c>
      <c r="N443" s="201" t="s">
        <v>97</v>
      </c>
      <c r="O443" s="201" t="s">
        <v>97</v>
      </c>
      <c r="P443" s="201" t="s">
        <v>97</v>
      </c>
      <c r="Q443" s="358" t="s">
        <v>97</v>
      </c>
      <c r="R443" s="192"/>
      <c r="S443" s="196"/>
      <c r="T443" s="204"/>
      <c r="U443" s="325"/>
      <c r="V443" s="325"/>
      <c r="W443" s="323">
        <f>SUM(W444:W449)</f>
        <v>0</v>
      </c>
      <c r="X443" s="323">
        <f>SUM(X444:X449)</f>
        <v>0</v>
      </c>
      <c r="Y443" s="323"/>
      <c r="Z443" s="323"/>
      <c r="AA443" s="323"/>
      <c r="AB443" s="323" t="s">
        <v>111</v>
      </c>
      <c r="AC443" s="323"/>
      <c r="AD443" s="323" t="s">
        <v>99</v>
      </c>
      <c r="AE443" s="323" t="s">
        <v>100</v>
      </c>
      <c r="AF443" s="323"/>
      <c r="AG443" s="323"/>
      <c r="AH443" s="323"/>
      <c r="AI443" s="323" t="s">
        <v>41</v>
      </c>
      <c r="AJ443" s="323">
        <f>VLOOKUP(E446,Pris.Etagedæk[],2,0)*C446</f>
        <v>0</v>
      </c>
      <c r="AK443" s="323">
        <f>VLOOKUP(J446,Pris.Etagedæk[],2,0)*C446</f>
        <v>0</v>
      </c>
      <c r="AL443" s="323"/>
      <c r="AM443" s="323"/>
      <c r="AN443" s="323"/>
      <c r="AO443" s="323"/>
      <c r="AP443" s="323"/>
      <c r="AQ443" s="323"/>
      <c r="AR443" s="323"/>
      <c r="AS443" s="323"/>
      <c r="AT443" s="323"/>
      <c r="AU443" s="323"/>
      <c r="AV443" s="323"/>
      <c r="AW443" s="323"/>
      <c r="AX443" s="323"/>
      <c r="AY443" s="323"/>
      <c r="AZ443" s="323"/>
      <c r="BA443" s="323"/>
      <c r="BB443" s="323"/>
      <c r="BC443" s="323"/>
      <c r="BD443" s="323"/>
      <c r="BE443" s="323"/>
      <c r="BF443" s="323"/>
      <c r="BG443" s="323"/>
      <c r="BH443" s="323"/>
      <c r="BI443" s="323"/>
      <c r="BJ443" s="323"/>
      <c r="BK443" s="323"/>
      <c r="BL443" s="323"/>
      <c r="BM443" s="323"/>
      <c r="BN443" s="323"/>
      <c r="BO443" s="323"/>
      <c r="BP443" s="323"/>
      <c r="BQ443" s="323"/>
      <c r="BR443" s="323"/>
      <c r="BS443" s="323"/>
      <c r="BT443" s="323"/>
      <c r="BU443" s="323"/>
      <c r="BV443" s="323"/>
      <c r="BW443" s="323"/>
      <c r="BX443" s="323"/>
      <c r="BY443" s="323"/>
      <c r="BZ443" s="323"/>
      <c r="CA443" s="323"/>
      <c r="CB443" s="323"/>
      <c r="CC443" s="323"/>
      <c r="CD443" s="323"/>
      <c r="CE443" s="323"/>
      <c r="CF443" s="323"/>
      <c r="CG443" s="323"/>
      <c r="CH443" s="323"/>
      <c r="CI443" s="323"/>
      <c r="CJ443" s="323"/>
      <c r="CK443" s="323"/>
      <c r="CL443" s="323"/>
      <c r="CM443" s="323"/>
      <c r="CN443" s="323"/>
      <c r="CO443" s="323"/>
      <c r="CP443" s="444"/>
      <c r="CQ443" s="440"/>
      <c r="CR443" s="323"/>
      <c r="CS443" s="323"/>
      <c r="CT443" s="323"/>
      <c r="CU443" s="323"/>
      <c r="CV443" s="323"/>
      <c r="CW443" s="323"/>
      <c r="CX443" s="323"/>
      <c r="CY443" s="323"/>
      <c r="CZ443" s="323"/>
      <c r="DA443" s="325"/>
      <c r="DB443" s="325"/>
      <c r="DC443" s="325"/>
      <c r="DD443" s="325"/>
      <c r="DE443" s="325"/>
      <c r="DF443" s="325"/>
      <c r="DG443" s="325"/>
      <c r="DH443" s="325"/>
      <c r="DI443" s="325"/>
      <c r="DJ443" s="325"/>
      <c r="DK443" s="325"/>
      <c r="DL443" s="325"/>
      <c r="DM443" s="325"/>
      <c r="DN443" s="325"/>
      <c r="DO443" s="325"/>
      <c r="DP443" s="325"/>
      <c r="DQ443" s="325"/>
      <c r="DR443" s="325"/>
      <c r="DS443" s="325"/>
      <c r="DT443" s="325"/>
      <c r="DU443" s="325"/>
      <c r="DV443" s="325"/>
      <c r="DW443" s="325"/>
      <c r="DX443" s="325"/>
      <c r="DY443" s="325"/>
      <c r="DZ443" s="325"/>
      <c r="EA443" s="325"/>
      <c r="EB443" s="325"/>
      <c r="EC443" s="325"/>
      <c r="ED443" s="325"/>
      <c r="EE443" s="325"/>
      <c r="EF443" s="325"/>
      <c r="EG443" s="325"/>
      <c r="EH443" s="325"/>
      <c r="EI443" s="325"/>
      <c r="EJ443" s="325"/>
      <c r="EK443" s="325"/>
      <c r="EL443" s="325"/>
      <c r="EM443" s="325"/>
      <c r="EN443" s="325"/>
      <c r="EO443" s="325"/>
      <c r="EP443" s="325"/>
      <c r="EQ443" s="325"/>
      <c r="ER443" s="325"/>
      <c r="ES443" s="325"/>
      <c r="ET443" s="325"/>
      <c r="EU443" s="325"/>
      <c r="EV443" s="325"/>
      <c r="EW443" s="325"/>
      <c r="EX443" s="325"/>
      <c r="EY443" s="325"/>
      <c r="EZ443" s="325"/>
      <c r="FA443" s="325"/>
      <c r="FB443" s="325"/>
      <c r="FC443" s="325"/>
      <c r="FD443" s="325"/>
      <c r="FE443" s="325"/>
      <c r="FF443" s="325"/>
      <c r="FG443" s="325"/>
      <c r="FH443" s="325"/>
      <c r="FI443" s="325"/>
      <c r="FJ443" s="325"/>
      <c r="FK443" s="325"/>
      <c r="FL443" s="325"/>
      <c r="FM443" s="325"/>
      <c r="FN443" s="325"/>
      <c r="FO443" s="325"/>
      <c r="FP443" s="325"/>
      <c r="FQ443" s="325"/>
      <c r="FR443" s="325"/>
      <c r="FS443" s="325"/>
      <c r="FT443" s="325"/>
      <c r="FU443" s="325"/>
      <c r="FV443" s="325"/>
      <c r="FW443" s="325"/>
      <c r="FX443" s="325"/>
      <c r="FY443" s="325"/>
      <c r="FZ443" s="325"/>
      <c r="GA443" s="325"/>
      <c r="GB443" s="325"/>
      <c r="GC443" s="325"/>
      <c r="GD443" s="325"/>
      <c r="GE443" s="325"/>
      <c r="GF443" s="325"/>
      <c r="GG443" s="325"/>
      <c r="GH443" s="325"/>
      <c r="GI443" s="325"/>
      <c r="GJ443" s="325"/>
      <c r="GK443" s="325"/>
      <c r="GL443" s="325"/>
      <c r="GM443" s="325"/>
      <c r="GN443" s="325"/>
      <c r="GO443" s="325"/>
      <c r="GP443" s="325"/>
      <c r="GQ443" s="325"/>
      <c r="GR443" s="325"/>
      <c r="GS443" s="325"/>
      <c r="GT443" s="325"/>
      <c r="GU443" s="325"/>
      <c r="GV443" s="325"/>
      <c r="GW443" s="325"/>
      <c r="GX443" s="325"/>
      <c r="GY443" s="325"/>
      <c r="GZ443" s="325"/>
      <c r="HA443" s="325"/>
      <c r="HB443" s="325"/>
      <c r="HC443" s="325"/>
      <c r="HD443" s="325"/>
      <c r="HE443" s="325"/>
      <c r="HF443" s="325"/>
      <c r="HG443" s="325"/>
      <c r="HH443" s="325"/>
      <c r="HI443" s="325"/>
      <c r="HJ443" s="325"/>
      <c r="HK443" s="325"/>
      <c r="HL443" s="325"/>
      <c r="HM443" s="325"/>
      <c r="HN443" s="325"/>
    </row>
    <row r="444" spans="2:222" ht="40.4" hidden="1" customHeight="1" outlineLevel="1" x14ac:dyDescent="0.35">
      <c r="B444" s="363" t="str">
        <f>B242</f>
        <v>Gulvoverflade</v>
      </c>
      <c r="C444" s="465">
        <f>$C$442*$C$45</f>
        <v>0</v>
      </c>
      <c r="D444" s="15" t="s">
        <v>103</v>
      </c>
      <c r="E444" s="342" t="str">
        <f>IF($D$443=$D$82,D444,VLOOKUP(B444,Auto_Etagedæk[],VLOOKUP($D$443,Type_Tung_Middel_Let[],2,0),0))</f>
        <v>Angiv ikke</v>
      </c>
      <c r="F444" s="356">
        <f>(VLOOKUP(E444,Pris.gulv.belægning[],4,0))/1000</f>
        <v>0</v>
      </c>
      <c r="G444" s="350"/>
      <c r="H444" s="351" t="str">
        <f>IFERROR(IF(VLOOKUP(B444&amp;"_"&amp;E444,'LCA data'!$B$7:$X$200,2,FALSE)&lt;$Y$24,1,0)+IF(VLOOKUP(B444&amp;"_"&amp;E444,'LCA data'!$B$7:$X$200,2,FALSE)*2&lt;$Y$24,1,0),"")</f>
        <v/>
      </c>
      <c r="I444" s="15" t="s">
        <v>103</v>
      </c>
      <c r="J444" s="342" t="str">
        <f>IF($I$443=$D$82,I444,VLOOKUP(B444,Auto_Etagedæk[],VLOOKUP($I$443,Type_Tung_Middel_Let[],2,0),0))</f>
        <v>Angiv ikke</v>
      </c>
      <c r="K444" s="513">
        <f>(VLOOKUP(J444,Pris.gulv.belægning[],4,0))/1000</f>
        <v>0</v>
      </c>
      <c r="L444" s="514"/>
      <c r="M444" s="515" t="str">
        <f>IFERROR(IF(VLOOKUP(B444&amp;"_"&amp;J444,'LCA data'!$B$7:$X$200,2,FALSE)&lt;$Y$24,1,0)+IF(VLOOKUP(B444&amp;"_"&amp;J444,'LCA data'!$B$7:$X$200,2,FALSE)*2&lt;$Y$24,1,0),"")</f>
        <v/>
      </c>
      <c r="N444" s="364">
        <f>W444/1000</f>
        <v>0</v>
      </c>
      <c r="O444" s="880">
        <f>SUM(N444:N449)</f>
        <v>0</v>
      </c>
      <c r="P444" s="365">
        <f>X444/1000</f>
        <v>0</v>
      </c>
      <c r="Q444" s="888">
        <f>SUM(P444:P449)</f>
        <v>0</v>
      </c>
      <c r="R444" s="202"/>
      <c r="S444" s="203"/>
      <c r="U444" s="251"/>
      <c r="V444" s="251"/>
      <c r="W444" s="323">
        <f>IF(E444="Angiv ikke",0,((1+H444)*VLOOKUP(B444&amp;"_"&amp;E444,'LCA data'!$B$7:$X$360,19,FALSE)*(F444*10^3)*C444))</f>
        <v>0</v>
      </c>
      <c r="X444" s="323">
        <f>IF(J444="Angiv ikke",0,((1+M444)*VLOOKUP(B444&amp;"_"&amp;J444,'LCA data'!$B$7:$X$360,19,FALSE)*(K444*10^3)*C444))</f>
        <v>0</v>
      </c>
      <c r="Y444" s="323"/>
      <c r="Z444" s="323"/>
      <c r="AA444" s="323" t="s">
        <v>4</v>
      </c>
      <c r="AB444" s="323">
        <f>AF444/$J$21/$Y$24*1000</f>
        <v>0</v>
      </c>
      <c r="AC444" s="323"/>
      <c r="AD444" s="323">
        <f>AB444+AC444</f>
        <v>0</v>
      </c>
      <c r="AE444" s="323" t="s">
        <v>4</v>
      </c>
      <c r="AF444" s="323">
        <f>W443/1000</f>
        <v>0</v>
      </c>
      <c r="AG444" s="323"/>
      <c r="AH444" s="323"/>
      <c r="AI444" s="323" t="str">
        <f>'LCA data'!$B$105</f>
        <v>Loftsbeklædning</v>
      </c>
      <c r="AJ444" s="323">
        <f>VLOOKUP(E447,Pris.loft.beklædning[],2,0)*C447</f>
        <v>0</v>
      </c>
      <c r="AK444" s="323">
        <f>VLOOKUP(J447,Pris.loft.beklædning[],2,0)*C447</f>
        <v>0</v>
      </c>
      <c r="AL444" s="323"/>
      <c r="AM444" s="323"/>
      <c r="AN444" s="323">
        <f>IF(E444="Angiv ikke",0,((1+H444)*VLOOKUP(B444&amp;"_"&amp;E444,'LCA data'!$B$7:$X$360,20,FALSE)*(F444*10^3)*C444))</f>
        <v>0</v>
      </c>
      <c r="AO444" s="323">
        <f>IF(J444="Angiv ikke",0,((1+M444)*VLOOKUP(B444&amp;"_"&amp;J444,'LCA data'!$B$7:$X$360,20,FALSE)*(K444*10^3)*C444))</f>
        <v>0</v>
      </c>
      <c r="AP444" s="323"/>
      <c r="AQ444" s="323"/>
      <c r="AR444" s="323">
        <f>IF(E444="Angiv ikke",0,((1+H444)*VLOOKUP(B444&amp;"_"&amp;E444,'LCA data'!$B$7:$AA$360,26,FALSE)*(F444*10^3)*C444))</f>
        <v>0</v>
      </c>
      <c r="AS444" s="323">
        <f>IF(J444="Angiv ikke",0,((1+M444)*VLOOKUP(B444&amp;"_"&amp;J444,'LCA data'!$B$7:$AA$360,26,FALSE)*(K444*10^3)*C444))</f>
        <v>0</v>
      </c>
      <c r="AT444" s="323"/>
      <c r="AU444" s="323"/>
      <c r="AV444" s="323"/>
      <c r="AW444" s="323"/>
      <c r="AX444" s="323"/>
      <c r="AY444" s="323"/>
      <c r="AZ444" s="323"/>
      <c r="BA444" s="323"/>
      <c r="BB444" s="323"/>
      <c r="BC444" s="323"/>
      <c r="BD444" s="323"/>
      <c r="BE444" s="323"/>
      <c r="BF444" s="323"/>
      <c r="BG444" s="323"/>
      <c r="BH444" s="323"/>
      <c r="BI444" s="323"/>
      <c r="BJ444" s="323"/>
      <c r="BK444" s="323"/>
      <c r="BL444" s="323"/>
      <c r="BM444" s="323"/>
      <c r="BN444" s="323"/>
      <c r="BO444" s="323"/>
      <c r="BP444" s="323"/>
      <c r="BQ444" s="323"/>
      <c r="BR444" s="323"/>
      <c r="BS444" s="323"/>
      <c r="BT444" s="323"/>
      <c r="BU444" s="323"/>
      <c r="BV444" s="323"/>
      <c r="BW444" s="323"/>
      <c r="BX444" s="323"/>
      <c r="BY444" s="323"/>
      <c r="BZ444" s="323"/>
      <c r="CA444" s="323"/>
      <c r="CB444" s="323"/>
      <c r="CC444" s="323"/>
      <c r="CD444" s="323"/>
      <c r="CE444" s="323"/>
      <c r="CF444" s="323"/>
      <c r="CG444" s="323"/>
      <c r="CH444" s="323"/>
      <c r="CI444" s="323"/>
      <c r="CJ444" s="323"/>
      <c r="CK444" s="323"/>
      <c r="CL444" s="323"/>
      <c r="CM444" s="323"/>
      <c r="CN444" s="323"/>
      <c r="CO444" s="323"/>
      <c r="CP444" s="439"/>
      <c r="CQ444" s="440"/>
      <c r="CR444" s="323"/>
      <c r="CS444" s="323"/>
      <c r="CT444" s="323"/>
      <c r="CU444" s="323"/>
      <c r="CV444" s="323"/>
      <c r="CW444" s="323"/>
      <c r="CX444" s="323"/>
      <c r="CY444" s="323"/>
      <c r="CZ444" s="323"/>
    </row>
    <row r="445" spans="2:222" ht="40.4" hidden="1" customHeight="1" outlineLevel="1" x14ac:dyDescent="0.35">
      <c r="B445" s="208" t="str">
        <f>'LCA data'!$B$32</f>
        <v>Isolering</v>
      </c>
      <c r="C445" s="465">
        <f t="shared" ref="C445:C447" si="28">$C$442*$C$45</f>
        <v>0</v>
      </c>
      <c r="D445" s="168" t="s">
        <v>103</v>
      </c>
      <c r="E445" s="342" t="str">
        <f>IF($D$443=$D$82,D445,VLOOKUP(B445,Auto_Etagedæk[],VLOOKUP($D$443,Type_Tung_Middel_Let[],2,0),0))</f>
        <v>Angiv ikke</v>
      </c>
      <c r="F445" s="11">
        <v>0.15</v>
      </c>
      <c r="G445" s="353"/>
      <c r="H445" s="351" t="str">
        <f>IFERROR(IF(VLOOKUP(B445&amp;"_"&amp;E445,'LCA data'!$B$7:$X$200,2,FALSE)&lt;$Y$24,1,0)+IF(VLOOKUP(B445&amp;"_"&amp;E445,'LCA data'!$B$7:$X$200,2,FALSE)*2&lt;$Y$24,1,0),"")</f>
        <v/>
      </c>
      <c r="I445" s="168" t="s">
        <v>103</v>
      </c>
      <c r="J445" s="342" t="str">
        <f>IF($I$443=$D$82,I445,VLOOKUP(B445,Auto_Etagedæk[],VLOOKUP($I$443,Type_Tung_Middel_Let[],2,0),0))</f>
        <v>Angiv ikke</v>
      </c>
      <c r="K445" s="11">
        <v>0.15</v>
      </c>
      <c r="L445" s="528"/>
      <c r="M445" s="515" t="str">
        <f>IFERROR(IF(VLOOKUP(B445&amp;"_"&amp;J445,'LCA data'!$B$7:$X$200,2,FALSE)&lt;$Y$24,1,0)+IF(VLOOKUP(B445&amp;"_"&amp;J445,'LCA data'!$B$7:$X$200,2,FALSE)*2&lt;$Y$24,1,0),"")</f>
        <v/>
      </c>
      <c r="N445" s="206">
        <f>W445/1000</f>
        <v>0</v>
      </c>
      <c r="O445" s="878"/>
      <c r="P445" s="207">
        <f>X445/1000</f>
        <v>0</v>
      </c>
      <c r="Q445" s="889"/>
      <c r="R445" s="192"/>
      <c r="S445" s="196"/>
      <c r="U445" s="251"/>
      <c r="V445" s="251"/>
      <c r="W445" s="323">
        <f>IF(E445="Angiv ikke",0,((1+H445)*VLOOKUP(B445&amp;"_"&amp;E445,'LCA data'!$B$7:$X$360,19,FALSE)*(F445*10^3)*C445))</f>
        <v>0</v>
      </c>
      <c r="X445" s="323">
        <f>IF(J445="Angiv ikke",0,((1+M445)*VLOOKUP(B445&amp;"_"&amp;J445,'LCA data'!$B$7:$X$360,19,FALSE)*(K445*10^3)*C445))</f>
        <v>0</v>
      </c>
      <c r="Y445" s="323"/>
      <c r="Z445" s="323"/>
      <c r="AA445" s="323" t="s">
        <v>5</v>
      </c>
      <c r="AB445" s="323">
        <f>AG445/$J$21/$Y$24*1000</f>
        <v>0</v>
      </c>
      <c r="AC445" s="323"/>
      <c r="AD445" s="323">
        <f>AB445+AC445</f>
        <v>0</v>
      </c>
      <c r="AE445" s="323" t="s">
        <v>5</v>
      </c>
      <c r="AF445" s="323"/>
      <c r="AG445" s="323">
        <f>X443/1000</f>
        <v>0</v>
      </c>
      <c r="AH445" s="323"/>
      <c r="AI445" s="323" t="s">
        <v>743</v>
      </c>
      <c r="AJ445" s="323">
        <f>SUM(AJ441:AJ444)</f>
        <v>0</v>
      </c>
      <c r="AK445" s="323">
        <f>SUM(AK441:AK444)</f>
        <v>0</v>
      </c>
      <c r="AL445" s="323"/>
      <c r="AM445" s="323"/>
      <c r="AN445" s="323">
        <f>IF(E445="Angiv ikke",0,((1+H445)*VLOOKUP(B445&amp;"_"&amp;E445,'LCA data'!$B$7:$X$360,20,FALSE)*(F445*10^3)*C445))</f>
        <v>0</v>
      </c>
      <c r="AO445" s="323">
        <f>IF(J445="Angiv ikke",0,((1+M445)*VLOOKUP(B445&amp;"_"&amp;J445,'LCA data'!$B$7:$X$360,20,FALSE)*(K445*10^3)*C445))</f>
        <v>0</v>
      </c>
      <c r="AP445" s="323"/>
      <c r="AQ445" s="323"/>
      <c r="AR445" s="323">
        <f>IF(E445="Angiv ikke",0,((1+H445)*VLOOKUP(B445&amp;"_"&amp;E445,'LCA data'!$B$7:$AA$360,26,FALSE)*(F445*10^3)*C445))</f>
        <v>0</v>
      </c>
      <c r="AS445" s="323">
        <f>IF(J445="Angiv ikke",0,((1+M445)*VLOOKUP(B445&amp;"_"&amp;J445,'LCA data'!$B$7:$AA$360,26,FALSE)*(K445*10^3)*C445))</f>
        <v>0</v>
      </c>
      <c r="AT445" s="323"/>
      <c r="AU445" s="323"/>
      <c r="AV445" s="323"/>
      <c r="AW445" s="323"/>
      <c r="AX445" s="323"/>
      <c r="AY445" s="323"/>
      <c r="AZ445" s="323"/>
      <c r="BA445" s="323"/>
      <c r="BB445" s="323"/>
      <c r="BC445" s="323"/>
      <c r="BD445" s="323"/>
      <c r="BE445" s="323"/>
      <c r="BF445" s="323"/>
      <c r="BG445" s="323"/>
      <c r="BH445" s="323"/>
      <c r="BI445" s="323"/>
      <c r="BJ445" s="323"/>
      <c r="BK445" s="323"/>
      <c r="BL445" s="323"/>
      <c r="BM445" s="323"/>
      <c r="BN445" s="323"/>
      <c r="BO445" s="323"/>
      <c r="BP445" s="323"/>
      <c r="BQ445" s="323"/>
      <c r="BR445" s="323"/>
      <c r="BS445" s="323"/>
      <c r="BT445" s="323"/>
      <c r="BU445" s="323"/>
      <c r="BV445" s="323"/>
      <c r="BW445" s="323"/>
      <c r="BX445" s="323"/>
      <c r="BY445" s="323"/>
      <c r="BZ445" s="323"/>
      <c r="CA445" s="323"/>
      <c r="CB445" s="323"/>
      <c r="CC445" s="323"/>
      <c r="CD445" s="323"/>
      <c r="CE445" s="323"/>
      <c r="CF445" s="323"/>
      <c r="CG445" s="323"/>
      <c r="CH445" s="323"/>
      <c r="CI445" s="323"/>
      <c r="CJ445" s="323"/>
      <c r="CK445" s="323"/>
      <c r="CL445" s="323"/>
      <c r="CM445" s="323"/>
      <c r="CN445" s="323"/>
      <c r="CO445" s="323"/>
      <c r="CP445" s="439"/>
      <c r="CQ445" s="440"/>
      <c r="CR445" s="323"/>
      <c r="CS445" s="323"/>
      <c r="CT445" s="323"/>
      <c r="CU445" s="323"/>
      <c r="CV445" s="323"/>
      <c r="CW445" s="323"/>
      <c r="CX445" s="323"/>
      <c r="CY445" s="323"/>
      <c r="CZ445" s="323"/>
    </row>
    <row r="446" spans="2:222" ht="40.4" hidden="1" customHeight="1" outlineLevel="1" x14ac:dyDescent="0.35">
      <c r="B446" s="205" t="str">
        <f>'LCA data'!$B$138</f>
        <v>Etagedæk</v>
      </c>
      <c r="C446" s="465">
        <f t="shared" si="28"/>
        <v>0</v>
      </c>
      <c r="D446" s="169" t="s">
        <v>103</v>
      </c>
      <c r="E446" s="342" t="str">
        <f>IF($D$443=$D$82,D446,VLOOKUP(B446,Auto_Etagedæk[],VLOOKUP($D$443,Type_Tung_Middel_Let[],2,0),0))</f>
        <v>Angiv ikke</v>
      </c>
      <c r="F446" s="172">
        <f>VLOOKUP(E446,Pris.Etagedæk[],4,0)/1000</f>
        <v>0</v>
      </c>
      <c r="G446" s="350"/>
      <c r="H446" s="351" t="str">
        <f>IFERROR(IF(VLOOKUP(B446&amp;"_"&amp;E446,'LCA data'!$B$7:$X$360,2,FALSE)&lt;$Y$24,1,0)+IF(VLOOKUP(B446&amp;"_"&amp;E446,'LCA data'!$B$7:$X$360,2,FALSE)*2&lt;$Y$24,1,0),"")</f>
        <v/>
      </c>
      <c r="I446" s="169" t="s">
        <v>103</v>
      </c>
      <c r="J446" s="342" t="str">
        <f>IF($I$443=$D$82,I446,VLOOKUP(B446,Auto_Etagedæk[],VLOOKUP($I$443,Type_Tung_Middel_Let[],2,0),0))</f>
        <v>Angiv ikke</v>
      </c>
      <c r="K446" s="172">
        <f>VLOOKUP(J446,Pris.Etagedæk[],4,0)/1000</f>
        <v>0</v>
      </c>
      <c r="L446" s="514"/>
      <c r="M446" s="515" t="str">
        <f>IFERROR(IF(VLOOKUP(B446&amp;"_"&amp;J446,'LCA data'!$B$7:$X$360,2,FALSE)&lt;$Y$24,1,0)+IF(VLOOKUP(B446&amp;"_"&amp;J446,'LCA data'!$B$7:$X$360,2,FALSE)*2&lt;$Y$24,1,0),"")</f>
        <v/>
      </c>
      <c r="N446" s="206">
        <f>W446/1000</f>
        <v>0</v>
      </c>
      <c r="O446" s="878"/>
      <c r="P446" s="207">
        <f>X446/1000</f>
        <v>0</v>
      </c>
      <c r="Q446" s="889"/>
      <c r="R446" s="192"/>
      <c r="S446" s="196"/>
      <c r="U446" s="251"/>
      <c r="V446" s="251"/>
      <c r="W446" s="323">
        <f>IF(E446="Angiv ikke",0,((1+H446)*VLOOKUP(B446&amp;"_"&amp;E446,'LCA data'!$B$7:$X$360,19,FALSE)*(F446*10^3)*C446))</f>
        <v>0</v>
      </c>
      <c r="X446" s="323">
        <f>IF(J446="Angiv ikke",0,((1+M446)*VLOOKUP(B446&amp;"_"&amp;J446,'LCA data'!$B$7:$X$360,19,FALSE)*(K446*10^3)*C446))</f>
        <v>0</v>
      </c>
      <c r="Y446" s="323"/>
      <c r="Z446" s="323"/>
      <c r="AA446" s="323"/>
      <c r="AB446" s="323"/>
      <c r="AC446" s="323"/>
      <c r="AD446" s="323"/>
      <c r="AE446" s="323"/>
      <c r="AF446" s="323"/>
      <c r="AG446" s="323"/>
      <c r="AH446" s="323"/>
      <c r="AI446" s="323"/>
      <c r="AJ446" s="323"/>
      <c r="AK446" s="323"/>
      <c r="AL446" s="323"/>
      <c r="AM446" s="323"/>
      <c r="AN446" s="323">
        <f>IF(E446="Angiv ikke",0,((1+H446)*VLOOKUP(B446&amp;"_"&amp;E446,'LCA data'!$B$7:$X$360,20,FALSE)*(F446*10^3)*C446))</f>
        <v>0</v>
      </c>
      <c r="AO446" s="323">
        <f>IF(J446="Angiv ikke",0,((1+M446)*VLOOKUP(B446&amp;"_"&amp;J446,'LCA data'!$B$7:$X$360,20,FALSE)*(K446*10^3)*C446))</f>
        <v>0</v>
      </c>
      <c r="AP446" s="323"/>
      <c r="AQ446" s="323"/>
      <c r="AR446" s="323">
        <f>IF(E446="Angiv ikke",0,((1+H446)*VLOOKUP(B446&amp;"_"&amp;E446,'LCA data'!$B$7:$AA$360,26,FALSE)*(F446*10^3)*C446))</f>
        <v>0</v>
      </c>
      <c r="AS446" s="323">
        <f>IF(J446="Angiv ikke",0,((1+M446)*VLOOKUP(B446&amp;"_"&amp;J446,'LCA data'!$B$7:$AA$360,26,FALSE)*(K446*10^3)*C446))</f>
        <v>0</v>
      </c>
      <c r="AT446" s="323"/>
      <c r="AU446" s="323"/>
      <c r="AV446" s="323"/>
      <c r="AW446" s="323"/>
      <c r="AX446" s="323"/>
      <c r="AY446" s="323"/>
      <c r="AZ446" s="323"/>
      <c r="BA446" s="323"/>
      <c r="BB446" s="323"/>
      <c r="BC446" s="323"/>
      <c r="BD446" s="323"/>
      <c r="BE446" s="323"/>
      <c r="BF446" s="323"/>
      <c r="BG446" s="323"/>
      <c r="BH446" s="323"/>
      <c r="BI446" s="323"/>
      <c r="BJ446" s="323"/>
      <c r="BK446" s="323"/>
      <c r="BL446" s="323"/>
      <c r="BM446" s="323"/>
      <c r="BN446" s="323"/>
      <c r="BO446" s="323"/>
      <c r="BP446" s="323"/>
      <c r="BQ446" s="323"/>
      <c r="BR446" s="323"/>
      <c r="BS446" s="323"/>
      <c r="BT446" s="323"/>
      <c r="BU446" s="323"/>
      <c r="BV446" s="323"/>
      <c r="BW446" s="323"/>
      <c r="BX446" s="323"/>
      <c r="BY446" s="323"/>
      <c r="BZ446" s="323"/>
      <c r="CA446" s="323"/>
      <c r="CB446" s="323"/>
      <c r="CC446" s="323"/>
      <c r="CD446" s="323"/>
      <c r="CE446" s="323"/>
      <c r="CF446" s="323"/>
      <c r="CG446" s="323"/>
      <c r="CH446" s="323"/>
      <c r="CI446" s="323"/>
      <c r="CJ446" s="323"/>
      <c r="CK446" s="323"/>
      <c r="CL446" s="323"/>
      <c r="CM446" s="323"/>
      <c r="CN446" s="323"/>
      <c r="CO446" s="323"/>
      <c r="CP446" s="439"/>
      <c r="CQ446" s="440"/>
      <c r="CR446" s="323"/>
      <c r="CS446" s="323"/>
      <c r="CT446" s="323"/>
      <c r="CU446" s="323"/>
      <c r="CV446" s="323"/>
      <c r="CW446" s="323"/>
      <c r="CX446" s="323"/>
      <c r="CY446" s="323"/>
      <c r="CZ446" s="323"/>
    </row>
    <row r="447" spans="2:222" ht="40.4" hidden="1" customHeight="1" outlineLevel="1" thickBot="1" x14ac:dyDescent="0.4">
      <c r="B447" s="209" t="str">
        <f>$B$145</f>
        <v>Loftsbeklædning</v>
      </c>
      <c r="C447" s="464">
        <f t="shared" si="28"/>
        <v>0</v>
      </c>
      <c r="D447" s="171" t="s">
        <v>103</v>
      </c>
      <c r="E447" s="344" t="str">
        <f>IF($D$443=$D$82,D447,VLOOKUP(B447,Auto_Etagedæk[],VLOOKUP($D$443,Type_Tung_Middel_Let[],2,0),0))</f>
        <v>Angiv ikke</v>
      </c>
      <c r="F447" s="459">
        <f>(VLOOKUP(E447,Pris.loft.beklædning[],4,0))/1000</f>
        <v>0</v>
      </c>
      <c r="G447" s="354"/>
      <c r="H447" s="355" t="str">
        <f>IFERROR(IF(VLOOKUP(B447&amp;"_"&amp;E447,'LCA data'!$B$7:$X$200,2,FALSE)&lt;$Y$24,1,0)+IF(VLOOKUP(B447&amp;"_"&amp;E447,'LCA data'!$B$7:$X$200,2,FALSE)*2&lt;$Y$24,1,0),"")</f>
        <v/>
      </c>
      <c r="I447" s="171" t="s">
        <v>103</v>
      </c>
      <c r="J447" s="344" t="str">
        <f>IF($I$443=$D$82,I447,VLOOKUP(B447,Auto_Etagedæk[],VLOOKUP($I$443,Type_Tung_Middel_Let[],2,0),0))</f>
        <v>Angiv ikke</v>
      </c>
      <c r="K447" s="522">
        <f>(VLOOKUP(J447,Pris.loft.beklædning[],4,0))/1000</f>
        <v>0</v>
      </c>
      <c r="L447" s="519"/>
      <c r="M447" s="520" t="str">
        <f>IFERROR(IF(VLOOKUP(B447&amp;"_"&amp;J447,'LCA data'!$B$7:$X$200,2,FALSE)&lt;$Y$24,1,0)+IF(VLOOKUP(B447&amp;"_"&amp;J447,'LCA data'!$B$7:$X$200,2,FALSE)*2&lt;$Y$24,1,0),"")</f>
        <v/>
      </c>
      <c r="N447" s="210">
        <f>W447/1000</f>
        <v>0</v>
      </c>
      <c r="O447" s="879"/>
      <c r="P447" s="211">
        <f>X447/1000</f>
        <v>0</v>
      </c>
      <c r="Q447" s="890"/>
      <c r="R447" s="212"/>
      <c r="S447" s="213"/>
      <c r="U447" s="251"/>
      <c r="V447" s="251"/>
      <c r="W447" s="323">
        <f>IF(E447="Angiv ikke",0,((1+H447)*VLOOKUP(B447&amp;"_"&amp;E447,'LCA data'!$B$7:$X$360,19,FALSE)*(F447*10^3)*C447))</f>
        <v>0</v>
      </c>
      <c r="X447" s="323">
        <f>IF(J447="Angiv ikke",0,((1+M447)*VLOOKUP(B447&amp;"_"&amp;J447,'LCA data'!$B$7:$X$360,19,FALSE)*(K447*10^3)*C447))</f>
        <v>0</v>
      </c>
      <c r="Y447" s="323"/>
      <c r="Z447" s="323"/>
      <c r="AA447" s="323"/>
      <c r="AB447" s="323"/>
      <c r="AC447" s="323"/>
      <c r="AD447" s="323"/>
      <c r="AE447" s="323"/>
      <c r="AF447" s="323"/>
      <c r="AG447" s="323"/>
      <c r="AH447" s="323"/>
      <c r="AI447" s="323"/>
      <c r="AJ447" s="323"/>
      <c r="AK447" s="323"/>
      <c r="AL447" s="323"/>
      <c r="AM447" s="323"/>
      <c r="AN447" s="323">
        <f>IF(E447="Angiv ikke",0,((1+H447)*VLOOKUP(B447&amp;"_"&amp;E447,'LCA data'!$B$7:$X$360,20,FALSE)*(F447*10^3)*C447))</f>
        <v>0</v>
      </c>
      <c r="AO447" s="323">
        <f>IF(J447="Angiv ikke",0,((1+M447)*VLOOKUP(B447&amp;"_"&amp;J447,'LCA data'!$B$7:$X$360,20,FALSE)*(K447*10^3)*C447))</f>
        <v>0</v>
      </c>
      <c r="AP447" s="323"/>
      <c r="AQ447" s="323"/>
      <c r="AR447" s="323">
        <f>IF(E447="Angiv ikke",0,((1+H447)*VLOOKUP(B447&amp;"_"&amp;E447,'LCA data'!$B$7:$AA$360,26,FALSE)*(F447*10^3)*C447))</f>
        <v>0</v>
      </c>
      <c r="AS447" s="323">
        <f>IF(J447="Angiv ikke",0,((1+M447)*VLOOKUP(B447&amp;"_"&amp;J447,'LCA data'!$B$7:$AA$360,26,FALSE)*(K447*10^3)*C447))</f>
        <v>0</v>
      </c>
      <c r="AT447" s="323"/>
      <c r="AU447" s="323"/>
      <c r="AV447" s="323"/>
      <c r="AW447" s="323"/>
      <c r="AX447" s="323"/>
      <c r="AY447" s="323"/>
      <c r="AZ447" s="323"/>
      <c r="BA447" s="323"/>
      <c r="BB447" s="323"/>
      <c r="BC447" s="323"/>
      <c r="BD447" s="323"/>
      <c r="BE447" s="323"/>
      <c r="BF447" s="323"/>
      <c r="BG447" s="323"/>
      <c r="BH447" s="323"/>
      <c r="BI447" s="323"/>
      <c r="BJ447" s="323"/>
      <c r="BK447" s="323"/>
      <c r="BL447" s="323"/>
      <c r="BM447" s="323"/>
      <c r="BN447" s="323"/>
      <c r="BO447" s="323"/>
      <c r="BP447" s="323"/>
      <c r="BQ447" s="323"/>
      <c r="BR447" s="323"/>
      <c r="BS447" s="323"/>
      <c r="BT447" s="323"/>
      <c r="BU447" s="323"/>
      <c r="BV447" s="323"/>
      <c r="BW447" s="323"/>
      <c r="BX447" s="323"/>
      <c r="BY447" s="323"/>
      <c r="BZ447" s="323"/>
      <c r="CA447" s="323"/>
      <c r="CB447" s="323"/>
      <c r="CC447" s="323"/>
      <c r="CD447" s="323"/>
      <c r="CE447" s="323"/>
      <c r="CF447" s="323"/>
      <c r="CG447" s="323"/>
      <c r="CH447" s="323"/>
      <c r="CI447" s="323"/>
      <c r="CJ447" s="323"/>
      <c r="CK447" s="323"/>
      <c r="CL447" s="323"/>
      <c r="CM447" s="323"/>
      <c r="CN447" s="323"/>
      <c r="CO447" s="323"/>
      <c r="CP447" s="428"/>
      <c r="CQ447" s="441"/>
      <c r="CR447" s="323"/>
      <c r="CS447" s="323"/>
      <c r="CT447" s="323"/>
      <c r="CU447" s="323"/>
      <c r="CV447" s="323"/>
      <c r="CW447" s="323"/>
      <c r="CX447" s="323"/>
      <c r="CY447" s="323"/>
      <c r="CZ447" s="323"/>
    </row>
    <row r="448" spans="2:222" ht="23.5" hidden="1" customHeight="1" outlineLevel="1" x14ac:dyDescent="0.35">
      <c r="B448" s="173" t="s">
        <v>130</v>
      </c>
      <c r="C448" s="366"/>
      <c r="E448" s="228"/>
      <c r="F448" s="228"/>
      <c r="G448" s="228"/>
      <c r="H448" s="369"/>
      <c r="J448" s="228"/>
      <c r="K448" s="228"/>
      <c r="L448" s="228"/>
      <c r="M448" s="369"/>
      <c r="N448" s="370"/>
      <c r="O448" s="412"/>
      <c r="P448" s="370"/>
      <c r="Q448" s="412"/>
      <c r="R448" s="217"/>
      <c r="U448" s="251"/>
      <c r="V448" s="251"/>
      <c r="W448" s="323"/>
      <c r="X448" s="323"/>
      <c r="Y448" s="323"/>
      <c r="Z448" s="323"/>
      <c r="AA448" s="323"/>
      <c r="AB448" s="323"/>
      <c r="AC448" s="323"/>
      <c r="AD448" s="323"/>
      <c r="AE448" s="323"/>
      <c r="AF448" s="323"/>
      <c r="AG448" s="323"/>
      <c r="AH448" s="323"/>
      <c r="AI448" s="323"/>
      <c r="AJ448" s="323"/>
      <c r="AK448" s="323"/>
      <c r="AL448" s="323"/>
      <c r="AM448" s="323"/>
      <c r="AN448" s="323"/>
      <c r="AO448" s="323"/>
      <c r="AP448" s="323"/>
      <c r="AQ448" s="323"/>
      <c r="AR448" s="323"/>
      <c r="AS448" s="323"/>
      <c r="AT448" s="323"/>
      <c r="AU448" s="323"/>
      <c r="AV448" s="323"/>
      <c r="AW448" s="323"/>
      <c r="AX448" s="323"/>
      <c r="AY448" s="323"/>
      <c r="AZ448" s="323"/>
      <c r="BA448" s="323"/>
      <c r="BB448" s="323"/>
      <c r="BC448" s="323"/>
      <c r="BD448" s="323"/>
      <c r="BE448" s="323"/>
      <c r="BF448" s="323"/>
      <c r="BG448" s="323"/>
      <c r="BH448" s="323"/>
      <c r="BI448" s="323"/>
      <c r="BJ448" s="323"/>
      <c r="BK448" s="323"/>
      <c r="BL448" s="323"/>
      <c r="BM448" s="323"/>
      <c r="BN448" s="323"/>
      <c r="BO448" s="323"/>
      <c r="BP448" s="323"/>
      <c r="BQ448" s="323"/>
      <c r="BR448" s="323"/>
      <c r="BS448" s="323"/>
      <c r="BT448" s="323"/>
      <c r="BU448" s="323"/>
      <c r="BV448" s="323"/>
      <c r="BW448" s="323"/>
      <c r="BX448" s="323"/>
      <c r="BY448" s="323"/>
      <c r="BZ448" s="323"/>
      <c r="CA448" s="323"/>
      <c r="CB448" s="323"/>
      <c r="CC448" s="323"/>
      <c r="CD448" s="323"/>
      <c r="CE448" s="323"/>
      <c r="CF448" s="323"/>
      <c r="CG448" s="323"/>
      <c r="CH448" s="323"/>
      <c r="CI448" s="323"/>
      <c r="CJ448" s="323"/>
      <c r="CK448" s="323"/>
      <c r="CL448" s="323"/>
      <c r="CM448" s="323"/>
      <c r="CN448" s="323"/>
      <c r="CO448" s="323"/>
      <c r="CP448" s="439"/>
      <c r="CQ448" s="446"/>
      <c r="CR448" s="323"/>
      <c r="CS448" s="323"/>
      <c r="CT448" s="323"/>
      <c r="CU448" s="323"/>
      <c r="CV448" s="323"/>
      <c r="CW448" s="323"/>
      <c r="CX448" s="323"/>
      <c r="CY448" s="323"/>
      <c r="CZ448" s="323"/>
    </row>
    <row r="449" spans="1:104" ht="17.149999999999999" customHeight="1" collapsed="1" x14ac:dyDescent="0.35">
      <c r="B449" s="542"/>
      <c r="C449" s="558"/>
      <c r="D449" s="542"/>
      <c r="E449" s="558"/>
      <c r="F449" s="558"/>
      <c r="G449" s="558"/>
      <c r="H449" s="558"/>
      <c r="I449" s="542"/>
      <c r="J449" s="558"/>
      <c r="K449" s="558"/>
      <c r="L449" s="558"/>
      <c r="M449" s="558"/>
      <c r="N449" s="217"/>
      <c r="O449" s="217"/>
      <c r="P449" s="217"/>
      <c r="Q449" s="217"/>
      <c r="R449" s="217"/>
      <c r="U449" s="251"/>
      <c r="V449" s="251"/>
      <c r="W449" s="323"/>
      <c r="X449" s="323"/>
      <c r="Y449" s="323"/>
      <c r="Z449" s="323"/>
      <c r="AA449" s="323"/>
      <c r="AB449" s="323"/>
      <c r="AC449" s="323"/>
      <c r="AD449" s="323"/>
      <c r="AE449" s="323"/>
      <c r="AF449" s="323"/>
      <c r="AG449" s="323"/>
      <c r="AH449" s="323"/>
      <c r="AI449" s="323"/>
      <c r="AJ449" s="323"/>
      <c r="AK449" s="323"/>
      <c r="AL449" s="323"/>
      <c r="AM449" s="323"/>
      <c r="AN449" s="323"/>
      <c r="AO449" s="323"/>
      <c r="AP449" s="323"/>
      <c r="AQ449" s="323"/>
      <c r="AR449" s="323"/>
      <c r="AS449" s="323"/>
      <c r="AT449" s="323"/>
      <c r="AU449" s="323"/>
      <c r="AV449" s="323"/>
      <c r="AW449" s="323"/>
      <c r="AX449" s="323"/>
      <c r="AY449" s="323"/>
      <c r="AZ449" s="323"/>
      <c r="BA449" s="323"/>
      <c r="BB449" s="323"/>
      <c r="BC449" s="323"/>
      <c r="BD449" s="323"/>
      <c r="BE449" s="323"/>
      <c r="BF449" s="323"/>
      <c r="BG449" s="323"/>
      <c r="BH449" s="323"/>
      <c r="BI449" s="323"/>
      <c r="BJ449" s="323"/>
      <c r="BK449" s="323"/>
      <c r="BL449" s="323"/>
      <c r="BM449" s="323"/>
      <c r="BN449" s="323"/>
      <c r="BO449" s="323"/>
      <c r="BP449" s="323"/>
      <c r="BQ449" s="323"/>
      <c r="BR449" s="323"/>
      <c r="BS449" s="323"/>
      <c r="BT449" s="323"/>
      <c r="BU449" s="323"/>
      <c r="BV449" s="323"/>
      <c r="BW449" s="323"/>
      <c r="BX449" s="323"/>
      <c r="BY449" s="323"/>
      <c r="BZ449" s="323"/>
      <c r="CA449" s="323"/>
      <c r="CB449" s="323"/>
      <c r="CC449" s="323"/>
      <c r="CD449" s="323"/>
      <c r="CE449" s="323"/>
      <c r="CF449" s="323"/>
      <c r="CG449" s="323"/>
      <c r="CH449" s="323"/>
      <c r="CI449" s="323"/>
      <c r="CJ449" s="323"/>
      <c r="CK449" s="323"/>
      <c r="CL449" s="323"/>
      <c r="CM449" s="323"/>
      <c r="CN449" s="323"/>
      <c r="CO449" s="323"/>
      <c r="CP449" s="439"/>
      <c r="CQ449" s="440"/>
      <c r="CR449" s="323"/>
      <c r="CS449" s="323"/>
      <c r="CT449" s="323"/>
      <c r="CU449" s="323"/>
      <c r="CV449" s="323"/>
      <c r="CW449" s="323"/>
      <c r="CX449" s="323"/>
      <c r="CY449" s="323"/>
      <c r="CZ449" s="323"/>
    </row>
    <row r="450" spans="1:104" ht="18.649999999999999" customHeight="1" thickBot="1" x14ac:dyDescent="0.4">
      <c r="C450" s="373"/>
      <c r="E450" s="373"/>
      <c r="F450" s="373"/>
      <c r="G450" s="373"/>
      <c r="H450" s="373"/>
      <c r="J450" s="373"/>
      <c r="K450" s="373"/>
      <c r="L450" s="373"/>
      <c r="M450" s="373"/>
      <c r="S450" s="217"/>
      <c r="U450" s="251"/>
      <c r="V450" s="251"/>
      <c r="W450" s="323"/>
      <c r="X450" s="323"/>
      <c r="Y450" s="323"/>
      <c r="Z450" s="323"/>
      <c r="AA450" s="323"/>
      <c r="AB450" s="323"/>
      <c r="AC450" s="323"/>
      <c r="AD450" s="323"/>
      <c r="AE450" s="323"/>
      <c r="AF450" s="323"/>
      <c r="AG450" s="323"/>
      <c r="AH450" s="323"/>
      <c r="AI450" s="323"/>
      <c r="AJ450" s="323"/>
      <c r="AK450" s="323"/>
      <c r="AL450" s="323"/>
      <c r="AM450" s="323"/>
      <c r="AN450" s="323"/>
      <c r="AO450" s="323"/>
      <c r="AP450" s="323"/>
      <c r="AQ450" s="323"/>
      <c r="AR450" s="323"/>
      <c r="AS450" s="323"/>
      <c r="AT450" s="323"/>
      <c r="AU450" s="323"/>
      <c r="AV450" s="323"/>
      <c r="AW450" s="323"/>
      <c r="AX450" s="323"/>
      <c r="AY450" s="323"/>
      <c r="AZ450" s="323"/>
      <c r="BA450" s="323"/>
      <c r="BB450" s="323"/>
      <c r="BC450" s="323"/>
      <c r="BD450" s="323"/>
      <c r="BE450" s="323"/>
      <c r="BF450" s="323"/>
      <c r="BG450" s="323"/>
      <c r="BH450" s="323"/>
      <c r="BI450" s="323"/>
      <c r="BJ450" s="323"/>
      <c r="BK450" s="323"/>
      <c r="BL450" s="323"/>
      <c r="BM450" s="323"/>
      <c r="BN450" s="323"/>
      <c r="BO450" s="323"/>
      <c r="BP450" s="323"/>
      <c r="BQ450" s="323"/>
      <c r="BR450" s="323"/>
      <c r="BS450" s="323"/>
      <c r="BT450" s="323"/>
      <c r="BU450" s="323"/>
      <c r="BV450" s="323"/>
      <c r="BW450" s="323"/>
      <c r="BX450" s="323"/>
      <c r="BY450" s="323"/>
      <c r="BZ450" s="323"/>
      <c r="CA450" s="323"/>
      <c r="CB450" s="323"/>
      <c r="CC450" s="323"/>
      <c r="CD450" s="323"/>
      <c r="CE450" s="323"/>
      <c r="CF450" s="323"/>
      <c r="CG450" s="323"/>
      <c r="CH450" s="323"/>
      <c r="CI450" s="323"/>
      <c r="CJ450" s="323"/>
      <c r="CK450" s="323"/>
      <c r="CL450" s="323"/>
      <c r="CM450" s="323"/>
      <c r="CN450" s="323"/>
      <c r="CO450" s="323"/>
      <c r="CP450" s="447"/>
      <c r="CQ450" s="448"/>
      <c r="CR450" s="323"/>
      <c r="CS450" s="323"/>
      <c r="CT450" s="323"/>
      <c r="CU450" s="323"/>
      <c r="CV450" s="323"/>
      <c r="CW450" s="323"/>
      <c r="CX450" s="323"/>
      <c r="CY450" s="323"/>
      <c r="CZ450" s="323"/>
    </row>
    <row r="451" spans="1:104" ht="40.4" customHeight="1" x14ac:dyDescent="0.7">
      <c r="B451" s="484" t="s">
        <v>790</v>
      </c>
      <c r="C451" s="483"/>
      <c r="D451" s="483"/>
      <c r="E451" s="483"/>
      <c r="F451" s="483"/>
      <c r="G451" s="483"/>
      <c r="H451" s="483"/>
      <c r="I451" s="483"/>
      <c r="J451" s="483"/>
      <c r="K451" s="481"/>
      <c r="L451" s="481"/>
      <c r="M451" s="481"/>
      <c r="N451" s="481"/>
      <c r="O451" s="481"/>
      <c r="P451" s="481"/>
      <c r="Q451" s="481"/>
      <c r="R451" s="481"/>
      <c r="S451" s="482"/>
      <c r="U451" s="251"/>
      <c r="V451" s="251"/>
      <c r="W451" s="323"/>
      <c r="X451" s="323"/>
      <c r="Y451" s="323"/>
      <c r="Z451" s="323"/>
      <c r="AA451" s="323"/>
      <c r="AB451" s="323"/>
      <c r="AC451" s="323"/>
      <c r="AD451" s="323"/>
      <c r="AE451" s="323"/>
      <c r="AF451" s="323"/>
      <c r="AG451" s="323"/>
      <c r="AH451" s="323"/>
      <c r="AI451" s="323"/>
      <c r="AJ451" s="323" t="s">
        <v>746</v>
      </c>
      <c r="AK451" s="323" t="s">
        <v>747</v>
      </c>
      <c r="AL451" s="323"/>
      <c r="AM451" s="323"/>
      <c r="AN451" s="323"/>
      <c r="AO451" s="323"/>
      <c r="AP451" s="323"/>
      <c r="AQ451" s="323"/>
      <c r="AR451" s="323"/>
      <c r="AS451" s="323"/>
      <c r="AT451" s="323"/>
      <c r="AU451" s="323"/>
      <c r="AV451" s="323"/>
      <c r="AW451" s="323"/>
      <c r="AX451" s="323"/>
      <c r="AY451" s="323"/>
      <c r="AZ451" s="323"/>
      <c r="BA451" s="323"/>
      <c r="BB451" s="323"/>
      <c r="BC451" s="323"/>
      <c r="BD451" s="323"/>
      <c r="BE451" s="323"/>
      <c r="BF451" s="323"/>
      <c r="BG451" s="323"/>
      <c r="BH451" s="323"/>
      <c r="BI451" s="323"/>
      <c r="BJ451" s="323"/>
      <c r="BK451" s="323"/>
      <c r="BL451" s="323"/>
      <c r="BM451" s="323"/>
      <c r="BN451" s="323"/>
      <c r="BO451" s="323"/>
      <c r="BP451" s="323"/>
      <c r="BQ451" s="323"/>
      <c r="BR451" s="323"/>
      <c r="BS451" s="323"/>
      <c r="BT451" s="323"/>
      <c r="BU451" s="323"/>
      <c r="BV451" s="323"/>
      <c r="BW451" s="323"/>
      <c r="BX451" s="323"/>
      <c r="BY451" s="323"/>
      <c r="BZ451" s="323"/>
      <c r="CA451" s="323"/>
      <c r="CB451" s="323"/>
      <c r="CC451" s="323"/>
      <c r="CD451" s="323"/>
      <c r="CE451" s="323"/>
      <c r="CF451" s="323"/>
      <c r="CG451" s="323"/>
      <c r="CH451" s="323"/>
      <c r="CI451" s="323"/>
      <c r="CJ451" s="323"/>
      <c r="CK451" s="323"/>
      <c r="CL451" s="323"/>
      <c r="CM451" s="323"/>
      <c r="CN451" s="323"/>
      <c r="CO451" s="323"/>
      <c r="CP451" s="439"/>
      <c r="CQ451" s="440"/>
      <c r="CR451" s="323"/>
      <c r="CS451" s="323"/>
      <c r="CT451" s="323"/>
      <c r="CU451" s="323"/>
      <c r="CV451" s="323"/>
      <c r="CW451" s="323"/>
      <c r="CX451" s="323"/>
      <c r="CY451" s="323"/>
      <c r="CZ451" s="323"/>
    </row>
    <row r="452" spans="1:104" ht="13.4" customHeight="1" x14ac:dyDescent="0.35">
      <c r="B452" s="413"/>
      <c r="C452" s="175"/>
      <c r="E452" s="175"/>
      <c r="F452" s="175"/>
      <c r="G452" s="175"/>
      <c r="H452" s="175"/>
      <c r="J452" s="175"/>
      <c r="K452" s="175"/>
      <c r="L452" s="175"/>
      <c r="M452" s="175"/>
      <c r="N452" s="175"/>
      <c r="O452" s="175"/>
      <c r="P452" s="175"/>
      <c r="Q452" s="175"/>
      <c r="R452" s="175"/>
      <c r="S452" s="414"/>
      <c r="T452" s="175"/>
      <c r="U452" s="251"/>
      <c r="V452" s="251"/>
      <c r="W452" s="323"/>
      <c r="X452" s="323"/>
      <c r="Y452" s="323"/>
      <c r="Z452" s="323"/>
      <c r="AA452" s="323"/>
      <c r="AB452" s="323"/>
      <c r="AC452" s="323"/>
      <c r="AD452" s="323"/>
      <c r="AE452" s="323"/>
      <c r="AF452" s="323"/>
      <c r="AG452" s="323"/>
      <c r="AH452" s="323"/>
      <c r="AI452" s="323" t="s">
        <v>743</v>
      </c>
      <c r="AJ452" s="323" t="e">
        <f>AJ467+AJ477+AJ487</f>
        <v>#N/A</v>
      </c>
      <c r="AK452" s="323" t="e">
        <f>AK467+AK477+AK487</f>
        <v>#N/A</v>
      </c>
      <c r="AL452" s="323"/>
      <c r="AM452" s="323"/>
      <c r="AN452" s="323"/>
      <c r="AO452" s="323"/>
      <c r="AP452" s="323"/>
      <c r="AQ452" s="323"/>
      <c r="AR452" s="323"/>
      <c r="AS452" s="323"/>
      <c r="AT452" s="323"/>
      <c r="AU452" s="323"/>
      <c r="AV452" s="323"/>
      <c r="AW452" s="323"/>
      <c r="AX452" s="323"/>
      <c r="AY452" s="323"/>
      <c r="AZ452" s="323"/>
      <c r="BA452" s="323"/>
      <c r="BB452" s="323"/>
      <c r="BC452" s="323"/>
      <c r="BD452" s="323"/>
      <c r="BE452" s="323"/>
      <c r="BF452" s="323"/>
      <c r="BG452" s="323"/>
      <c r="BH452" s="323"/>
      <c r="BI452" s="323"/>
      <c r="BJ452" s="323"/>
      <c r="BK452" s="323"/>
      <c r="BL452" s="323"/>
      <c r="BM452" s="323"/>
      <c r="BN452" s="323"/>
      <c r="BO452" s="323"/>
      <c r="BP452" s="323"/>
      <c r="BQ452" s="323"/>
      <c r="BR452" s="323"/>
      <c r="BS452" s="323"/>
      <c r="BT452" s="323"/>
      <c r="BU452" s="323"/>
      <c r="BV452" s="323"/>
      <c r="BW452" s="323"/>
      <c r="BX452" s="323"/>
      <c r="BY452" s="323"/>
      <c r="BZ452" s="323"/>
      <c r="CA452" s="323"/>
      <c r="CB452" s="323"/>
      <c r="CC452" s="323"/>
      <c r="CD452" s="323"/>
      <c r="CE452" s="323"/>
      <c r="CF452" s="323"/>
      <c r="CG452" s="323"/>
      <c r="CH452" s="323"/>
      <c r="CI452" s="323"/>
      <c r="CJ452" s="323"/>
      <c r="CK452" s="323"/>
      <c r="CL452" s="323"/>
      <c r="CM452" s="323"/>
      <c r="CN452" s="323"/>
      <c r="CO452" s="323"/>
      <c r="CP452" s="439"/>
      <c r="CQ452" s="440"/>
      <c r="CR452" s="323"/>
      <c r="CS452" s="323"/>
      <c r="CT452" s="323"/>
      <c r="CU452" s="323"/>
      <c r="CV452" s="323"/>
      <c r="CW452" s="323"/>
      <c r="CX452" s="323"/>
      <c r="CY452" s="323"/>
      <c r="CZ452" s="323"/>
    </row>
    <row r="453" spans="1:104" ht="25.4" customHeight="1" x14ac:dyDescent="0.35">
      <c r="B453" s="242"/>
      <c r="N453" s="218"/>
      <c r="P453" s="216"/>
      <c r="R453" s="217"/>
      <c r="S453" s="183"/>
      <c r="U453" s="251"/>
      <c r="V453" s="251"/>
      <c r="W453" s="323"/>
      <c r="X453" s="323"/>
      <c r="Y453" s="323"/>
      <c r="Z453" s="323"/>
      <c r="AA453" s="323"/>
      <c r="AB453" s="323"/>
      <c r="AC453" s="323"/>
      <c r="AD453" s="323"/>
      <c r="AE453" s="323"/>
      <c r="AF453" s="323"/>
      <c r="AG453" s="323"/>
      <c r="AH453" s="323"/>
      <c r="AI453" s="323"/>
      <c r="AJ453" s="323"/>
      <c r="AK453" s="323"/>
      <c r="AL453" s="323"/>
      <c r="AM453" s="323"/>
      <c r="AN453" s="323"/>
      <c r="AO453" s="323"/>
      <c r="AP453" s="323"/>
      <c r="AQ453" s="323"/>
      <c r="AR453" s="323"/>
      <c r="AS453" s="323"/>
      <c r="AT453" s="323"/>
      <c r="AU453" s="323"/>
      <c r="AV453" s="323"/>
      <c r="AW453" s="323"/>
      <c r="AX453" s="323"/>
      <c r="AY453" s="323"/>
      <c r="AZ453" s="323"/>
      <c r="BA453" s="323"/>
      <c r="BB453" s="323"/>
      <c r="BC453" s="323"/>
      <c r="BD453" s="323"/>
      <c r="BE453" s="323"/>
      <c r="BF453" s="323"/>
      <c r="BG453" s="323"/>
      <c r="BH453" s="323"/>
      <c r="BI453" s="323"/>
      <c r="BJ453" s="323"/>
      <c r="BK453" s="323"/>
      <c r="BL453" s="323"/>
      <c r="BM453" s="323"/>
      <c r="BN453" s="323"/>
      <c r="BO453" s="323"/>
      <c r="BP453" s="323"/>
      <c r="BQ453" s="323"/>
      <c r="BR453" s="323"/>
      <c r="BS453" s="323"/>
      <c r="BT453" s="323"/>
      <c r="BU453" s="323"/>
      <c r="BV453" s="323"/>
      <c r="BW453" s="323"/>
      <c r="BX453" s="323"/>
      <c r="BY453" s="323"/>
      <c r="BZ453" s="323"/>
      <c r="CA453" s="323"/>
      <c r="CB453" s="323"/>
      <c r="CC453" s="323"/>
      <c r="CD453" s="323"/>
      <c r="CE453" s="323"/>
      <c r="CF453" s="323"/>
      <c r="CG453" s="323"/>
      <c r="CH453" s="323"/>
      <c r="CI453" s="323"/>
      <c r="CJ453" s="323"/>
      <c r="CK453" s="323"/>
      <c r="CL453" s="323"/>
      <c r="CM453" s="323"/>
      <c r="CN453" s="323"/>
      <c r="CO453" s="323"/>
      <c r="CP453" s="444"/>
      <c r="CQ453" s="440"/>
      <c r="CR453" s="323"/>
      <c r="CS453" s="323"/>
      <c r="CT453" s="323"/>
      <c r="CU453" s="323"/>
      <c r="CV453" s="323"/>
      <c r="CW453" s="323"/>
      <c r="CX453" s="323"/>
      <c r="CY453" s="323"/>
      <c r="CZ453" s="323"/>
    </row>
    <row r="454" spans="1:104" ht="25.4" customHeight="1" x14ac:dyDescent="0.35">
      <c r="B454" s="242"/>
      <c r="S454" s="227"/>
      <c r="U454" s="251"/>
      <c r="V454" s="251"/>
      <c r="W454" s="323"/>
      <c r="X454" s="323"/>
      <c r="Y454" s="323"/>
      <c r="Z454" s="323"/>
      <c r="AA454" s="323"/>
      <c r="AB454" s="323"/>
      <c r="AC454" s="323"/>
      <c r="AD454" s="323"/>
      <c r="AE454" s="323"/>
      <c r="AF454" s="323"/>
      <c r="AG454" s="323"/>
      <c r="AH454" s="323"/>
      <c r="AI454" s="323"/>
      <c r="AJ454" s="323"/>
      <c r="AK454" s="323"/>
      <c r="AL454" s="323"/>
      <c r="AM454" s="323"/>
      <c r="AN454" s="323"/>
      <c r="AO454" s="323"/>
      <c r="AP454" s="323"/>
      <c r="AQ454" s="323"/>
      <c r="AR454" s="323"/>
      <c r="AS454" s="323"/>
      <c r="AT454" s="323"/>
      <c r="AU454" s="323"/>
      <c r="AV454" s="323"/>
      <c r="AW454" s="323"/>
      <c r="AX454" s="323"/>
      <c r="AY454" s="323"/>
      <c r="AZ454" s="323"/>
      <c r="BA454" s="323"/>
      <c r="BB454" s="323"/>
      <c r="BC454" s="323"/>
      <c r="BD454" s="323"/>
      <c r="BE454" s="323"/>
      <c r="BF454" s="323"/>
      <c r="BG454" s="323"/>
      <c r="BH454" s="323"/>
      <c r="BI454" s="323"/>
      <c r="BJ454" s="323"/>
      <c r="BK454" s="323"/>
      <c r="BL454" s="323"/>
      <c r="BM454" s="323"/>
      <c r="BN454" s="323"/>
      <c r="BO454" s="323"/>
      <c r="BP454" s="323"/>
      <c r="BQ454" s="323"/>
      <c r="BR454" s="323"/>
      <c r="BS454" s="323"/>
      <c r="BT454" s="323"/>
      <c r="BU454" s="323"/>
      <c r="BV454" s="323"/>
      <c r="BW454" s="323"/>
      <c r="BX454" s="323"/>
      <c r="BY454" s="323"/>
      <c r="BZ454" s="323"/>
      <c r="CA454" s="323"/>
      <c r="CB454" s="323"/>
      <c r="CC454" s="323"/>
      <c r="CD454" s="323"/>
      <c r="CE454" s="323"/>
      <c r="CF454" s="323"/>
      <c r="CG454" s="323"/>
      <c r="CH454" s="323"/>
      <c r="CI454" s="323"/>
      <c r="CJ454" s="323"/>
      <c r="CK454" s="323"/>
      <c r="CL454" s="323"/>
      <c r="CM454" s="323"/>
      <c r="CN454" s="323"/>
      <c r="CO454" s="323"/>
      <c r="CP454" s="439"/>
      <c r="CQ454" s="440"/>
      <c r="CR454" s="323"/>
      <c r="CS454" s="323"/>
      <c r="CT454" s="323"/>
      <c r="CU454" s="323"/>
      <c r="CV454" s="323"/>
      <c r="CW454" s="323"/>
      <c r="CX454" s="323"/>
      <c r="CY454" s="323"/>
      <c r="CZ454" s="323"/>
    </row>
    <row r="455" spans="1:104" ht="25.4" customHeight="1" x14ac:dyDescent="0.35">
      <c r="B455" s="242"/>
      <c r="S455" s="227"/>
      <c r="U455" s="251"/>
      <c r="V455" s="251"/>
      <c r="W455" s="323"/>
      <c r="X455" s="323"/>
      <c r="Y455" s="323"/>
      <c r="Z455" s="323"/>
      <c r="AA455" s="323"/>
      <c r="AB455" s="323"/>
      <c r="AC455" s="323"/>
      <c r="AD455" s="323"/>
      <c r="AE455" s="323"/>
      <c r="AF455" s="323"/>
      <c r="AG455" s="323"/>
      <c r="AH455" s="323"/>
      <c r="AI455" s="323"/>
      <c r="AJ455" s="323"/>
      <c r="AK455" s="323"/>
      <c r="AL455" s="323"/>
      <c r="AM455" s="323"/>
      <c r="AN455" s="323"/>
      <c r="AO455" s="323"/>
      <c r="AP455" s="323"/>
      <c r="AQ455" s="323"/>
      <c r="AR455" s="323"/>
      <c r="AS455" s="323"/>
      <c r="AT455" s="323"/>
      <c r="AU455" s="323"/>
      <c r="AV455" s="323"/>
      <c r="AW455" s="323"/>
      <c r="AX455" s="323"/>
      <c r="AY455" s="323"/>
      <c r="AZ455" s="323"/>
      <c r="BA455" s="323"/>
      <c r="BB455" s="323"/>
      <c r="BC455" s="323"/>
      <c r="BD455" s="323"/>
      <c r="BE455" s="323"/>
      <c r="BF455" s="323"/>
      <c r="BG455" s="323"/>
      <c r="BH455" s="323"/>
      <c r="BI455" s="323"/>
      <c r="BJ455" s="323"/>
      <c r="BK455" s="323"/>
      <c r="BL455" s="323"/>
      <c r="BM455" s="323"/>
      <c r="BN455" s="323"/>
      <c r="BO455" s="323"/>
      <c r="BP455" s="323"/>
      <c r="BQ455" s="323"/>
      <c r="BR455" s="323"/>
      <c r="BS455" s="323"/>
      <c r="BT455" s="323"/>
      <c r="BU455" s="323"/>
      <c r="BV455" s="323"/>
      <c r="BW455" s="323"/>
      <c r="BX455" s="323"/>
      <c r="BY455" s="323"/>
      <c r="BZ455" s="323"/>
      <c r="CA455" s="323"/>
      <c r="CB455" s="323"/>
      <c r="CC455" s="323"/>
      <c r="CD455" s="323"/>
      <c r="CE455" s="323"/>
      <c r="CF455" s="323"/>
      <c r="CG455" s="323"/>
      <c r="CH455" s="323"/>
      <c r="CI455" s="323"/>
      <c r="CJ455" s="323"/>
      <c r="CK455" s="323"/>
      <c r="CL455" s="323"/>
      <c r="CM455" s="323"/>
      <c r="CN455" s="323"/>
      <c r="CO455" s="323"/>
      <c r="CP455" s="439"/>
      <c r="CQ455" s="440"/>
      <c r="CR455" s="323"/>
      <c r="CS455" s="323"/>
      <c r="CT455" s="323"/>
      <c r="CU455" s="323"/>
      <c r="CV455" s="323"/>
      <c r="CW455" s="323"/>
      <c r="CX455" s="323"/>
      <c r="CY455" s="323"/>
      <c r="CZ455" s="323"/>
    </row>
    <row r="456" spans="1:104" ht="25.4" customHeight="1" x14ac:dyDescent="0.35">
      <c r="B456" s="242"/>
      <c r="S456" s="227"/>
      <c r="U456" s="251"/>
      <c r="V456" s="251"/>
      <c r="W456" s="323"/>
      <c r="X456" s="323"/>
      <c r="Y456" s="323"/>
      <c r="Z456" s="323"/>
      <c r="AA456" s="323"/>
      <c r="AB456" s="323"/>
      <c r="AC456" s="323"/>
      <c r="AD456" s="323"/>
      <c r="AE456" s="323"/>
      <c r="AF456" s="323"/>
      <c r="AG456" s="323"/>
      <c r="AH456" s="323"/>
      <c r="AI456" s="323"/>
      <c r="AJ456" s="323"/>
      <c r="AK456" s="323"/>
      <c r="AL456" s="323"/>
      <c r="AM456" s="323"/>
      <c r="AN456" s="323"/>
      <c r="AO456" s="323"/>
      <c r="AP456" s="323"/>
      <c r="AQ456" s="323"/>
      <c r="AR456" s="323"/>
      <c r="AS456" s="323"/>
      <c r="AT456" s="323"/>
      <c r="AU456" s="323"/>
      <c r="AV456" s="323"/>
      <c r="AW456" s="323"/>
      <c r="AX456" s="323"/>
      <c r="AY456" s="323"/>
      <c r="AZ456" s="323"/>
      <c r="BA456" s="323"/>
      <c r="BB456" s="323"/>
      <c r="BC456" s="323"/>
      <c r="BD456" s="323"/>
      <c r="BE456" s="323"/>
      <c r="BF456" s="323"/>
      <c r="BG456" s="323"/>
      <c r="BH456" s="323"/>
      <c r="BI456" s="323"/>
      <c r="BJ456" s="323"/>
      <c r="BK456" s="323"/>
      <c r="BL456" s="323"/>
      <c r="BM456" s="323"/>
      <c r="BN456" s="323"/>
      <c r="BO456" s="323"/>
      <c r="BP456" s="323"/>
      <c r="BQ456" s="323"/>
      <c r="BR456" s="323"/>
      <c r="BS456" s="323"/>
      <c r="BT456" s="323"/>
      <c r="BU456" s="323"/>
      <c r="BV456" s="323"/>
      <c r="BW456" s="323"/>
      <c r="BX456" s="323"/>
      <c r="BY456" s="323"/>
      <c r="BZ456" s="323"/>
      <c r="CA456" s="323"/>
      <c r="CB456" s="323"/>
      <c r="CC456" s="323"/>
      <c r="CD456" s="323"/>
      <c r="CE456" s="323"/>
      <c r="CF456" s="323"/>
      <c r="CG456" s="323"/>
      <c r="CH456" s="323"/>
      <c r="CI456" s="323"/>
      <c r="CJ456" s="323"/>
      <c r="CK456" s="323"/>
      <c r="CL456" s="323"/>
      <c r="CM456" s="323"/>
      <c r="CN456" s="323"/>
      <c r="CO456" s="323"/>
      <c r="CP456" s="439"/>
      <c r="CQ456" s="440"/>
      <c r="CR456" s="323"/>
      <c r="CS456" s="323"/>
      <c r="CT456" s="323"/>
      <c r="CU456" s="323"/>
      <c r="CV456" s="323"/>
      <c r="CW456" s="323"/>
      <c r="CX456" s="323"/>
      <c r="CY456" s="323"/>
      <c r="CZ456" s="323"/>
    </row>
    <row r="457" spans="1:104" ht="25.4" customHeight="1" x14ac:dyDescent="0.35">
      <c r="B457" s="242"/>
      <c r="S457" s="227"/>
      <c r="U457" s="251"/>
      <c r="V457" s="251"/>
      <c r="W457" s="323"/>
      <c r="X457" s="323"/>
      <c r="Y457" s="323"/>
      <c r="Z457" s="323"/>
      <c r="AA457" s="323"/>
      <c r="AB457" s="323"/>
      <c r="AC457" s="323"/>
      <c r="AD457" s="323"/>
      <c r="AE457" s="323"/>
      <c r="AF457" s="323"/>
      <c r="AG457" s="323"/>
      <c r="AH457" s="323"/>
      <c r="AI457" s="323"/>
      <c r="AJ457" s="323"/>
      <c r="AK457" s="323"/>
      <c r="AL457" s="323"/>
      <c r="AM457" s="323"/>
      <c r="AN457" s="323" t="s">
        <v>864</v>
      </c>
      <c r="AO457" s="323" t="s">
        <v>4</v>
      </c>
      <c r="AP457" s="323">
        <f>AN463+AN474+AN484</f>
        <v>0</v>
      </c>
      <c r="AQ457" s="323"/>
      <c r="AR457" s="323" t="s">
        <v>866</v>
      </c>
      <c r="AS457" s="323" t="s">
        <v>4</v>
      </c>
      <c r="AT457" s="323">
        <f>AR463+AR474+AR484</f>
        <v>0</v>
      </c>
      <c r="AU457" s="323"/>
      <c r="AV457" s="323"/>
      <c r="AW457" s="323"/>
      <c r="AX457" s="323"/>
      <c r="AY457" s="323"/>
      <c r="AZ457" s="323"/>
      <c r="BA457" s="323"/>
      <c r="BB457" s="323"/>
      <c r="BC457" s="323"/>
      <c r="BD457" s="323"/>
      <c r="BE457" s="323"/>
      <c r="BF457" s="323"/>
      <c r="BG457" s="323"/>
      <c r="BH457" s="323"/>
      <c r="BI457" s="323"/>
      <c r="BJ457" s="323"/>
      <c r="BK457" s="323"/>
      <c r="BL457" s="323"/>
      <c r="BM457" s="323"/>
      <c r="BN457" s="323"/>
      <c r="BO457" s="323"/>
      <c r="BP457" s="323"/>
      <c r="BQ457" s="323"/>
      <c r="BR457" s="323"/>
      <c r="BS457" s="323"/>
      <c r="BT457" s="323"/>
      <c r="BU457" s="323"/>
      <c r="BV457" s="323"/>
      <c r="BW457" s="323"/>
      <c r="BX457" s="323"/>
      <c r="BY457" s="323"/>
      <c r="BZ457" s="323"/>
      <c r="CA457" s="323"/>
      <c r="CB457" s="323"/>
      <c r="CC457" s="323"/>
      <c r="CD457" s="323"/>
      <c r="CE457" s="323"/>
      <c r="CF457" s="323"/>
      <c r="CG457" s="323"/>
      <c r="CH457" s="323"/>
      <c r="CI457" s="323"/>
      <c r="CJ457" s="323"/>
      <c r="CK457" s="323"/>
      <c r="CL457" s="323"/>
      <c r="CM457" s="323"/>
      <c r="CN457" s="323"/>
      <c r="CO457" s="323"/>
      <c r="CP457" s="428"/>
      <c r="CQ457" s="441"/>
      <c r="CR457" s="323"/>
      <c r="CS457" s="323"/>
      <c r="CT457" s="323"/>
      <c r="CU457" s="323"/>
      <c r="CV457" s="323"/>
      <c r="CW457" s="323"/>
      <c r="CX457" s="323"/>
      <c r="CY457" s="323"/>
      <c r="CZ457" s="323"/>
    </row>
    <row r="458" spans="1:104" ht="25.4" customHeight="1" x14ac:dyDescent="0.35">
      <c r="B458" s="242"/>
      <c r="S458" s="227"/>
      <c r="U458" s="251"/>
      <c r="V458" s="251"/>
      <c r="W458" s="323"/>
      <c r="X458" s="323"/>
      <c r="Y458" s="323"/>
      <c r="Z458" s="323"/>
      <c r="AA458" s="323"/>
      <c r="AB458" s="323"/>
      <c r="AC458" s="323"/>
      <c r="AD458" s="323"/>
      <c r="AE458" s="323"/>
      <c r="AF458" s="323"/>
      <c r="AG458" s="323"/>
      <c r="AH458" s="323"/>
      <c r="AI458" s="323"/>
      <c r="AJ458" s="323"/>
      <c r="AK458" s="323"/>
      <c r="AL458" s="323"/>
      <c r="AM458" s="323"/>
      <c r="AN458" s="323" t="s">
        <v>865</v>
      </c>
      <c r="AO458" s="323" t="s">
        <v>5</v>
      </c>
      <c r="AP458" s="323"/>
      <c r="AQ458" s="323">
        <f>AO463+AO474+AO484</f>
        <v>0</v>
      </c>
      <c r="AR458" s="323" t="s">
        <v>866</v>
      </c>
      <c r="AS458" s="323" t="s">
        <v>5</v>
      </c>
      <c r="AT458" s="323"/>
      <c r="AU458" s="323">
        <f>AS463+AS474+AS484</f>
        <v>0</v>
      </c>
      <c r="AV458" s="323"/>
      <c r="AW458" s="323"/>
      <c r="AX458" s="323"/>
      <c r="AY458" s="323"/>
      <c r="AZ458" s="323"/>
      <c r="BA458" s="323"/>
      <c r="BB458" s="323"/>
      <c r="BC458" s="323"/>
      <c r="BD458" s="323"/>
      <c r="BE458" s="323"/>
      <c r="BF458" s="323"/>
      <c r="BG458" s="323"/>
      <c r="BH458" s="323"/>
      <c r="BI458" s="323"/>
      <c r="BJ458" s="323"/>
      <c r="BK458" s="323"/>
      <c r="BL458" s="323"/>
      <c r="BM458" s="323"/>
      <c r="BN458" s="323"/>
      <c r="BO458" s="323"/>
      <c r="BP458" s="323"/>
      <c r="BQ458" s="323"/>
      <c r="BR458" s="323"/>
      <c r="BS458" s="323"/>
      <c r="BT458" s="323"/>
      <c r="BU458" s="323"/>
      <c r="BV458" s="323"/>
      <c r="BW458" s="323"/>
      <c r="BX458" s="323"/>
      <c r="BY458" s="323"/>
      <c r="BZ458" s="323"/>
      <c r="CA458" s="323"/>
      <c r="CB458" s="323"/>
      <c r="CC458" s="323"/>
      <c r="CD458" s="323"/>
      <c r="CE458" s="323"/>
      <c r="CF458" s="323"/>
      <c r="CG458" s="323"/>
      <c r="CH458" s="323"/>
      <c r="CI458" s="323"/>
      <c r="CJ458" s="323"/>
      <c r="CK458" s="323"/>
      <c r="CL458" s="323"/>
      <c r="CM458" s="323"/>
      <c r="CN458" s="323"/>
      <c r="CO458" s="323"/>
      <c r="CP458" s="439"/>
      <c r="CQ458" s="440"/>
      <c r="CR458" s="323"/>
      <c r="CS458" s="323"/>
      <c r="CT458" s="323"/>
      <c r="CU458" s="323"/>
      <c r="CV458" s="323"/>
      <c r="CW458" s="323"/>
      <c r="CX458" s="323"/>
      <c r="CY458" s="323"/>
      <c r="CZ458" s="323"/>
    </row>
    <row r="459" spans="1:104" ht="50.15" customHeight="1" thickBot="1" x14ac:dyDescent="0.4">
      <c r="B459" s="408"/>
      <c r="C459" s="187"/>
      <c r="D459" s="187"/>
      <c r="E459" s="187"/>
      <c r="F459" s="187"/>
      <c r="G459" s="187"/>
      <c r="H459" s="187"/>
      <c r="I459" s="187"/>
      <c r="J459" s="187"/>
      <c r="K459" s="187"/>
      <c r="L459" s="187"/>
      <c r="M459" s="187"/>
      <c r="N459" s="187"/>
      <c r="O459" s="187"/>
      <c r="P459" s="187"/>
      <c r="Q459" s="187"/>
      <c r="R459" s="187"/>
      <c r="S459" s="387"/>
      <c r="U459" s="251"/>
      <c r="V459" s="251"/>
      <c r="W459" s="323"/>
      <c r="X459" s="323"/>
      <c r="Y459" s="323"/>
      <c r="Z459" s="323"/>
      <c r="AA459" s="323"/>
      <c r="AB459" s="323"/>
      <c r="AC459" s="323"/>
      <c r="AD459" s="323"/>
      <c r="AE459" s="323"/>
      <c r="AF459" s="323"/>
      <c r="AG459" s="323"/>
      <c r="AH459" s="323"/>
      <c r="AI459" s="323"/>
      <c r="AJ459" s="323"/>
      <c r="AK459" s="323"/>
      <c r="AL459" s="323"/>
      <c r="AM459" s="323"/>
      <c r="AN459" s="323"/>
      <c r="AO459" s="323"/>
      <c r="AP459" s="323"/>
      <c r="AQ459" s="323"/>
      <c r="AR459" s="323"/>
      <c r="AS459" s="323"/>
      <c r="AT459" s="323"/>
      <c r="AU459" s="323"/>
      <c r="AV459" s="323"/>
      <c r="AW459" s="323"/>
      <c r="AX459" s="323"/>
      <c r="AY459" s="323"/>
      <c r="AZ459" s="323"/>
      <c r="BA459" s="323"/>
      <c r="BB459" s="323"/>
      <c r="BC459" s="323"/>
      <c r="BD459" s="323"/>
      <c r="BE459" s="323"/>
      <c r="BF459" s="323"/>
      <c r="BG459" s="323"/>
      <c r="BH459" s="323"/>
      <c r="BI459" s="323"/>
      <c r="BJ459" s="323"/>
      <c r="BK459" s="323"/>
      <c r="BL459" s="323"/>
      <c r="BM459" s="323"/>
      <c r="BN459" s="323"/>
      <c r="BO459" s="323"/>
      <c r="BP459" s="323"/>
      <c r="BQ459" s="323"/>
      <c r="BR459" s="323"/>
      <c r="BS459" s="323"/>
      <c r="BT459" s="323"/>
      <c r="BU459" s="323"/>
      <c r="BV459" s="323"/>
      <c r="BW459" s="323"/>
      <c r="BX459" s="323"/>
      <c r="BY459" s="323"/>
      <c r="BZ459" s="323"/>
      <c r="CA459" s="323"/>
      <c r="CB459" s="323"/>
      <c r="CC459" s="323"/>
      <c r="CD459" s="323"/>
      <c r="CE459" s="323"/>
      <c r="CF459" s="323"/>
      <c r="CG459" s="323"/>
      <c r="CH459" s="323"/>
      <c r="CI459" s="323"/>
      <c r="CJ459" s="323"/>
      <c r="CK459" s="323"/>
      <c r="CL459" s="323"/>
      <c r="CM459" s="323"/>
      <c r="CN459" s="323"/>
      <c r="CO459" s="323"/>
      <c r="CP459" s="439"/>
      <c r="CQ459" s="440"/>
      <c r="CR459" s="323"/>
      <c r="CS459" s="323"/>
      <c r="CT459" s="323"/>
      <c r="CU459" s="323"/>
      <c r="CV459" s="323"/>
      <c r="CW459" s="323"/>
      <c r="CX459" s="323"/>
      <c r="CY459" s="323"/>
      <c r="CZ459" s="323"/>
    </row>
    <row r="460" spans="1:104" ht="13.4" customHeight="1" thickBot="1" x14ac:dyDescent="0.4">
      <c r="N460" s="218"/>
      <c r="P460" s="216"/>
      <c r="R460" s="217"/>
      <c r="U460" s="251"/>
      <c r="V460" s="251"/>
      <c r="W460" s="323"/>
      <c r="X460" s="323"/>
      <c r="Y460" s="323"/>
      <c r="Z460" s="323"/>
      <c r="AA460" s="323"/>
      <c r="AB460" s="323"/>
      <c r="AC460" s="323"/>
      <c r="AD460" s="323"/>
      <c r="AE460" s="323"/>
      <c r="AF460" s="323"/>
      <c r="AG460" s="323"/>
      <c r="AH460" s="323"/>
      <c r="AI460" s="323"/>
      <c r="AJ460" s="323"/>
      <c r="AK460" s="323"/>
      <c r="AL460" s="323"/>
      <c r="AM460" s="323"/>
      <c r="AN460" s="323"/>
      <c r="AO460" s="323"/>
      <c r="AP460" s="323"/>
      <c r="AQ460" s="323"/>
      <c r="AR460" s="323"/>
      <c r="AS460" s="323"/>
      <c r="AT460" s="323"/>
      <c r="AU460" s="323"/>
      <c r="AV460" s="323"/>
      <c r="AW460" s="323"/>
      <c r="AX460" s="323"/>
      <c r="AY460" s="323"/>
      <c r="AZ460" s="323"/>
      <c r="BA460" s="323"/>
      <c r="BB460" s="323"/>
      <c r="BC460" s="323"/>
      <c r="BD460" s="323"/>
      <c r="BE460" s="323"/>
      <c r="BF460" s="323"/>
      <c r="BG460" s="323"/>
      <c r="BH460" s="323"/>
      <c r="BI460" s="323"/>
      <c r="BJ460" s="323"/>
      <c r="BK460" s="323"/>
      <c r="BL460" s="323"/>
      <c r="BM460" s="323"/>
      <c r="BN460" s="323"/>
      <c r="BO460" s="323"/>
      <c r="BP460" s="323"/>
      <c r="BQ460" s="323"/>
      <c r="BR460" s="323"/>
      <c r="BS460" s="323"/>
      <c r="BT460" s="323"/>
      <c r="BU460" s="323"/>
      <c r="BV460" s="323"/>
      <c r="BW460" s="323"/>
      <c r="BX460" s="323"/>
      <c r="BY460" s="323"/>
      <c r="BZ460" s="323"/>
      <c r="CA460" s="323"/>
      <c r="CB460" s="323"/>
      <c r="CC460" s="323"/>
      <c r="CD460" s="323"/>
      <c r="CE460" s="323"/>
      <c r="CF460" s="323"/>
      <c r="CG460" s="323"/>
      <c r="CH460" s="323"/>
      <c r="CI460" s="323"/>
      <c r="CJ460" s="323"/>
      <c r="CK460" s="323"/>
      <c r="CL460" s="323"/>
      <c r="CM460" s="323"/>
      <c r="CN460" s="323"/>
      <c r="CO460" s="323"/>
      <c r="CP460" s="439"/>
      <c r="CQ460" s="440"/>
      <c r="CR460" s="323"/>
      <c r="CS460" s="323"/>
      <c r="CT460" s="323"/>
      <c r="CU460" s="323"/>
      <c r="CV460" s="323"/>
      <c r="CW460" s="323"/>
      <c r="CX460" s="323"/>
      <c r="CY460" s="323"/>
      <c r="CZ460" s="323"/>
    </row>
    <row r="461" spans="1:104" ht="31" x14ac:dyDescent="0.35">
      <c r="B461" s="492" t="s">
        <v>773</v>
      </c>
      <c r="C461" s="499"/>
      <c r="D461" s="499"/>
      <c r="E461" s="506" t="s">
        <v>76</v>
      </c>
      <c r="F461" s="499"/>
      <c r="G461" s="499"/>
      <c r="H461" s="499"/>
      <c r="I461" s="500" t="str">
        <f>"Kælder Ydervæg"&amp;" "&amp;1</f>
        <v>Kælder Ydervæg 1</v>
      </c>
      <c r="J461" s="500"/>
      <c r="K461" s="499"/>
      <c r="L461" s="499"/>
      <c r="M461" s="499"/>
      <c r="N461" s="499"/>
      <c r="O461" s="499"/>
      <c r="P461" s="499"/>
      <c r="Q461" s="501"/>
      <c r="R461" s="190"/>
      <c r="S461" s="191"/>
      <c r="U461" s="251"/>
      <c r="V461" s="251"/>
      <c r="W461" s="323"/>
      <c r="X461" s="323"/>
      <c r="Y461" s="323"/>
      <c r="Z461" s="323"/>
      <c r="AA461" s="323"/>
      <c r="AB461" s="323"/>
      <c r="AC461" s="323"/>
      <c r="AD461" s="323"/>
      <c r="AE461" s="323"/>
      <c r="AF461" s="323"/>
      <c r="AG461" s="323"/>
      <c r="AH461" s="323"/>
      <c r="AI461" s="323"/>
      <c r="AJ461" s="323" t="s">
        <v>746</v>
      </c>
      <c r="AK461" s="323" t="s">
        <v>747</v>
      </c>
      <c r="AL461" s="323"/>
      <c r="AM461" s="323"/>
      <c r="AN461" s="323" t="s">
        <v>846</v>
      </c>
      <c r="AO461" s="323"/>
      <c r="AP461" s="323"/>
      <c r="AQ461" s="323"/>
      <c r="AR461" s="323" t="s">
        <v>851</v>
      </c>
      <c r="AS461" s="323"/>
      <c r="AT461" s="323"/>
      <c r="AU461" s="323"/>
      <c r="AV461" s="323"/>
      <c r="AW461" s="323"/>
      <c r="AX461" s="323"/>
      <c r="AY461" s="323"/>
      <c r="AZ461" s="323"/>
      <c r="BA461" s="323"/>
      <c r="BB461" s="323"/>
      <c r="BC461" s="323"/>
      <c r="BD461" s="323"/>
      <c r="BE461" s="323"/>
      <c r="BF461" s="323"/>
      <c r="BG461" s="323"/>
      <c r="BH461" s="323"/>
      <c r="BI461" s="323"/>
      <c r="BJ461" s="323"/>
      <c r="BK461" s="323"/>
      <c r="BL461" s="323"/>
      <c r="BM461" s="323"/>
      <c r="BN461" s="323"/>
      <c r="BO461" s="323"/>
      <c r="BP461" s="323"/>
      <c r="BQ461" s="323"/>
      <c r="BR461" s="323"/>
      <c r="BS461" s="323"/>
      <c r="BT461" s="323"/>
      <c r="BU461" s="323"/>
      <c r="BV461" s="323"/>
      <c r="BW461" s="323"/>
      <c r="BX461" s="323"/>
      <c r="BY461" s="323"/>
      <c r="BZ461" s="323"/>
      <c r="CA461" s="323"/>
      <c r="CB461" s="323"/>
      <c r="CC461" s="323"/>
      <c r="CD461" s="323"/>
      <c r="CE461" s="323"/>
      <c r="CF461" s="323"/>
      <c r="CG461" s="323"/>
      <c r="CH461" s="323"/>
      <c r="CI461" s="323"/>
      <c r="CJ461" s="323"/>
      <c r="CK461" s="323"/>
      <c r="CL461" s="323"/>
      <c r="CM461" s="323"/>
      <c r="CN461" s="323"/>
      <c r="CO461" s="323"/>
      <c r="CP461" s="428"/>
      <c r="CQ461" s="441"/>
      <c r="CR461" s="323"/>
      <c r="CS461" s="323"/>
      <c r="CT461" s="323"/>
      <c r="CU461" s="323"/>
      <c r="CV461" s="323"/>
      <c r="CW461" s="323"/>
      <c r="CX461" s="323"/>
      <c r="CY461" s="323"/>
      <c r="CZ461" s="323"/>
    </row>
    <row r="462" spans="1:104" ht="38" customHeight="1" x14ac:dyDescent="0.35">
      <c r="B462" s="359" t="s">
        <v>78</v>
      </c>
      <c r="C462" s="360"/>
      <c r="D462" s="910" t="s">
        <v>4</v>
      </c>
      <c r="E462" s="911"/>
      <c r="F462" s="911"/>
      <c r="G462" s="911"/>
      <c r="H462" s="912"/>
      <c r="I462" s="885" t="s">
        <v>5</v>
      </c>
      <c r="J462" s="886"/>
      <c r="K462" s="886"/>
      <c r="L462" s="886"/>
      <c r="M462" s="887"/>
      <c r="N462" s="877" t="s">
        <v>79</v>
      </c>
      <c r="O462" s="877"/>
      <c r="P462" s="877"/>
      <c r="Q462" s="881"/>
      <c r="R462" s="192"/>
      <c r="S462" s="193"/>
      <c r="T462" s="175"/>
      <c r="U462" s="251"/>
      <c r="V462" s="251"/>
      <c r="W462" s="323"/>
      <c r="X462" s="323"/>
      <c r="Y462" s="323"/>
      <c r="Z462" s="323"/>
      <c r="AA462" s="323"/>
      <c r="AB462" s="323"/>
      <c r="AC462" s="323"/>
      <c r="AD462" s="323"/>
      <c r="AE462" s="323"/>
      <c r="AF462" s="323"/>
      <c r="AG462" s="323"/>
      <c r="AH462" s="323"/>
      <c r="AI462" s="323" t="str">
        <f>'LCA data'!$B$8</f>
        <v>Udvendig beklædning</v>
      </c>
      <c r="AJ462" s="323">
        <f>VLOOKUP(E465,Pris.udvendig.beklædning[],2,0)*C465</f>
        <v>0</v>
      </c>
      <c r="AK462" s="323">
        <f>VLOOKUP(J465,Pris.udvendig.beklædning[],2,0)*C465</f>
        <v>0</v>
      </c>
      <c r="AL462" s="323"/>
      <c r="AM462" s="323"/>
      <c r="AN462" s="323" t="s">
        <v>4</v>
      </c>
      <c r="AO462" s="323" t="s">
        <v>5</v>
      </c>
      <c r="AP462" s="323"/>
      <c r="AQ462" s="323"/>
      <c r="AR462" s="323" t="s">
        <v>4</v>
      </c>
      <c r="AS462" s="323" t="s">
        <v>5</v>
      </c>
      <c r="AT462" s="323"/>
      <c r="AU462" s="323"/>
      <c r="AV462" s="323"/>
      <c r="AW462" s="323"/>
      <c r="AX462" s="323"/>
      <c r="AY462" s="323"/>
      <c r="AZ462" s="323"/>
      <c r="BA462" s="323"/>
      <c r="BB462" s="323"/>
      <c r="BC462" s="323"/>
      <c r="BD462" s="323"/>
      <c r="BE462" s="323"/>
      <c r="BF462" s="323"/>
      <c r="BG462" s="323"/>
      <c r="BH462" s="323"/>
      <c r="BI462" s="323"/>
      <c r="BJ462" s="323"/>
      <c r="BK462" s="323"/>
      <c r="BL462" s="323"/>
      <c r="BM462" s="323"/>
      <c r="BN462" s="323"/>
      <c r="BO462" s="323"/>
      <c r="BP462" s="323"/>
      <c r="BQ462" s="323"/>
      <c r="BR462" s="323"/>
      <c r="BS462" s="323"/>
      <c r="BT462" s="323"/>
      <c r="BU462" s="323"/>
      <c r="BV462" s="323"/>
      <c r="BW462" s="323"/>
      <c r="BX462" s="323"/>
      <c r="BY462" s="323"/>
      <c r="BZ462" s="323"/>
      <c r="CA462" s="323"/>
      <c r="CB462" s="323"/>
      <c r="CC462" s="323"/>
      <c r="CD462" s="323"/>
      <c r="CE462" s="323"/>
      <c r="CF462" s="323"/>
      <c r="CG462" s="323"/>
      <c r="CH462" s="323"/>
      <c r="CI462" s="323"/>
      <c r="CJ462" s="323"/>
      <c r="CK462" s="323"/>
      <c r="CL462" s="323"/>
      <c r="CM462" s="323"/>
      <c r="CN462" s="323"/>
      <c r="CO462" s="323"/>
      <c r="CP462" s="428"/>
      <c r="CQ462" s="441"/>
      <c r="CR462" s="323"/>
      <c r="CS462" s="323"/>
      <c r="CT462" s="323"/>
      <c r="CU462" s="323"/>
      <c r="CV462" s="323"/>
      <c r="CW462" s="323"/>
      <c r="CX462" s="323"/>
      <c r="CY462" s="323"/>
      <c r="CZ462" s="323"/>
    </row>
    <row r="463" spans="1:104" ht="40" customHeight="1" x14ac:dyDescent="0.35">
      <c r="B463" s="194"/>
      <c r="C463" s="195" t="s">
        <v>80</v>
      </c>
      <c r="D463" s="908" t="s">
        <v>81</v>
      </c>
      <c r="E463" s="909"/>
      <c r="F463" s="338" t="s">
        <v>82</v>
      </c>
      <c r="G463" s="338" t="s">
        <v>83</v>
      </c>
      <c r="H463" s="346" t="s">
        <v>84</v>
      </c>
      <c r="I463" s="913" t="s">
        <v>81</v>
      </c>
      <c r="J463" s="914"/>
      <c r="K463" s="479" t="s">
        <v>82</v>
      </c>
      <c r="L463" s="479" t="s">
        <v>83</v>
      </c>
      <c r="M463" s="508" t="s">
        <v>84</v>
      </c>
      <c r="N463" s="195" t="s">
        <v>4</v>
      </c>
      <c r="O463" s="195" t="s">
        <v>85</v>
      </c>
      <c r="P463" s="195" t="s">
        <v>5</v>
      </c>
      <c r="Q463" s="357" t="s">
        <v>86</v>
      </c>
      <c r="R463" s="192"/>
      <c r="S463" s="196"/>
      <c r="U463" s="251"/>
      <c r="V463" s="251"/>
      <c r="W463" s="323" t="s">
        <v>87</v>
      </c>
      <c r="X463" s="323" t="s">
        <v>88</v>
      </c>
      <c r="Y463" s="323" t="s">
        <v>89</v>
      </c>
      <c r="Z463" s="323" t="s">
        <v>90</v>
      </c>
      <c r="AA463" s="323" t="s">
        <v>91</v>
      </c>
      <c r="AB463" s="323"/>
      <c r="AC463" s="323"/>
      <c r="AD463" s="323"/>
      <c r="AE463" s="323" t="s">
        <v>92</v>
      </c>
      <c r="AF463" s="323"/>
      <c r="AG463" s="323"/>
      <c r="AH463" s="323"/>
      <c r="AI463" s="323" t="str">
        <f>'LCA data'!$B$25</f>
        <v>Udvendig konstruktion</v>
      </c>
      <c r="AJ463" s="323">
        <f>VLOOKUP(E466,Pris.udvendig.konstruktion[],2,0)*C466</f>
        <v>0</v>
      </c>
      <c r="AK463" s="323">
        <f>VLOOKUP(J466,Pris.udvendig.konstruktion[],2,0)*C466</f>
        <v>0</v>
      </c>
      <c r="AL463" s="323"/>
      <c r="AM463" s="323"/>
      <c r="AN463" s="323">
        <f>SUM(AN465:AN469)</f>
        <v>0</v>
      </c>
      <c r="AO463" s="323">
        <f>SUM(AO465:AO469)</f>
        <v>0</v>
      </c>
      <c r="AP463" s="323"/>
      <c r="AQ463" s="323"/>
      <c r="AR463" s="323">
        <f>SUM(AR465:AR468)</f>
        <v>0</v>
      </c>
      <c r="AS463" s="323">
        <f>SUM(AS465:AS468)</f>
        <v>0</v>
      </c>
      <c r="AT463" s="323"/>
      <c r="AU463" s="323"/>
      <c r="AV463" s="323"/>
      <c r="AW463" s="323"/>
      <c r="AX463" s="323"/>
      <c r="AY463" s="323"/>
      <c r="AZ463" s="323"/>
      <c r="BA463" s="323"/>
      <c r="BB463" s="323"/>
      <c r="BC463" s="323"/>
      <c r="BD463" s="323"/>
      <c r="BE463" s="323"/>
      <c r="BF463" s="323"/>
      <c r="BG463" s="323"/>
      <c r="BH463" s="323"/>
      <c r="BI463" s="323"/>
      <c r="BJ463" s="323"/>
      <c r="BK463" s="323"/>
      <c r="BL463" s="323"/>
      <c r="BM463" s="323"/>
      <c r="BN463" s="323"/>
      <c r="BO463" s="323"/>
      <c r="BP463" s="323"/>
      <c r="BQ463" s="323"/>
      <c r="BR463" s="323"/>
      <c r="BS463" s="323"/>
      <c r="BT463" s="323"/>
      <c r="BU463" s="323"/>
      <c r="BV463" s="323"/>
      <c r="BW463" s="323"/>
      <c r="BX463" s="323"/>
      <c r="BY463" s="323"/>
      <c r="BZ463" s="323"/>
      <c r="CA463" s="323"/>
      <c r="CB463" s="323"/>
      <c r="CC463" s="323"/>
      <c r="CD463" s="323"/>
      <c r="CE463" s="323"/>
      <c r="CF463" s="323"/>
      <c r="CG463" s="323"/>
      <c r="CH463" s="323"/>
      <c r="CI463" s="323"/>
      <c r="CJ463" s="323"/>
      <c r="CK463" s="323"/>
      <c r="CL463" s="323"/>
      <c r="CM463" s="323"/>
      <c r="CN463" s="323"/>
      <c r="CO463" s="323"/>
      <c r="CP463" s="428"/>
      <c r="CQ463" s="441"/>
      <c r="CR463" s="323"/>
      <c r="CS463" s="323"/>
      <c r="CT463" s="323"/>
      <c r="CU463" s="323"/>
      <c r="CV463" s="323"/>
      <c r="CW463" s="323"/>
      <c r="CX463" s="323"/>
      <c r="CY463" s="323"/>
      <c r="CZ463" s="323"/>
    </row>
    <row r="464" spans="1:104" ht="26" customHeight="1" x14ac:dyDescent="0.35">
      <c r="A464" s="198"/>
      <c r="B464" s="199"/>
      <c r="C464" s="200" t="s">
        <v>93</v>
      </c>
      <c r="D464" s="361" t="s">
        <v>789</v>
      </c>
      <c r="E464" s="300" t="s">
        <v>771</v>
      </c>
      <c r="F464" s="347" t="s">
        <v>94</v>
      </c>
      <c r="G464" s="348" t="s">
        <v>95</v>
      </c>
      <c r="H464" s="349" t="s">
        <v>96</v>
      </c>
      <c r="I464" s="480" t="s">
        <v>789</v>
      </c>
      <c r="J464" s="300" t="s">
        <v>771</v>
      </c>
      <c r="K464" s="510" t="s">
        <v>94</v>
      </c>
      <c r="L464" s="511" t="s">
        <v>95</v>
      </c>
      <c r="M464" s="512" t="s">
        <v>96</v>
      </c>
      <c r="N464" s="201" t="s">
        <v>97</v>
      </c>
      <c r="O464" s="201" t="s">
        <v>97</v>
      </c>
      <c r="P464" s="201" t="s">
        <v>97</v>
      </c>
      <c r="Q464" s="358" t="s">
        <v>97</v>
      </c>
      <c r="R464" s="202"/>
      <c r="S464" s="203"/>
      <c r="T464" s="204"/>
      <c r="U464" s="251"/>
      <c r="V464" s="251"/>
      <c r="W464" s="323">
        <f>SUM(W465:W469)</f>
        <v>0</v>
      </c>
      <c r="X464" s="323">
        <f>SUM(X465:X469)</f>
        <v>0</v>
      </c>
      <c r="Y464" s="323"/>
      <c r="Z464" s="323"/>
      <c r="AA464" s="323"/>
      <c r="AB464" s="323" t="s">
        <v>111</v>
      </c>
      <c r="AC464" s="323" t="s">
        <v>98</v>
      </c>
      <c r="AD464" s="323" t="s">
        <v>99</v>
      </c>
      <c r="AE464" s="323" t="s">
        <v>100</v>
      </c>
      <c r="AF464" s="323"/>
      <c r="AG464" s="323"/>
      <c r="AH464" s="323"/>
      <c r="AI464" s="323" t="str">
        <f>'LCA data'!$B$32</f>
        <v>Isolering</v>
      </c>
      <c r="AJ464" s="323">
        <f>VLOOKUP(E467,Pris.isolering[],2,0)*F467*C467</f>
        <v>0</v>
      </c>
      <c r="AK464" s="323">
        <f>VLOOKUP(J467,Pris.isolering[],2,0)*K467*C467</f>
        <v>0</v>
      </c>
      <c r="AL464" s="323"/>
      <c r="AM464" s="323"/>
      <c r="AN464" s="323"/>
      <c r="AO464" s="323"/>
      <c r="AP464" s="323"/>
      <c r="AQ464" s="323"/>
      <c r="AR464" s="323"/>
      <c r="AS464" s="323"/>
      <c r="AT464" s="323"/>
      <c r="AU464" s="323"/>
      <c r="AV464" s="323"/>
      <c r="AW464" s="323"/>
      <c r="AX464" s="323"/>
      <c r="AY464" s="323"/>
      <c r="AZ464" s="323"/>
      <c r="BA464" s="323"/>
      <c r="BB464" s="323"/>
      <c r="BC464" s="323"/>
      <c r="BD464" s="323"/>
      <c r="BE464" s="323"/>
      <c r="BF464" s="323"/>
      <c r="BG464" s="323"/>
      <c r="BH464" s="323"/>
      <c r="BI464" s="323"/>
      <c r="BJ464" s="323"/>
      <c r="BK464" s="323"/>
      <c r="BL464" s="323"/>
      <c r="BM464" s="323"/>
      <c r="BN464" s="323"/>
      <c r="BO464" s="323"/>
      <c r="BP464" s="323"/>
      <c r="BQ464" s="323"/>
      <c r="BR464" s="323"/>
      <c r="BS464" s="323"/>
      <c r="BT464" s="323"/>
      <c r="BU464" s="323"/>
      <c r="BV464" s="323"/>
      <c r="BW464" s="323"/>
      <c r="BX464" s="323"/>
      <c r="BY464" s="323"/>
      <c r="BZ464" s="323"/>
      <c r="CA464" s="323"/>
      <c r="CB464" s="323"/>
      <c r="CC464" s="323"/>
      <c r="CD464" s="323"/>
      <c r="CE464" s="323"/>
      <c r="CF464" s="323"/>
      <c r="CG464" s="323"/>
      <c r="CH464" s="323"/>
      <c r="CI464" s="323"/>
      <c r="CJ464" s="323"/>
      <c r="CK464" s="323"/>
      <c r="CL464" s="323"/>
      <c r="CM464" s="323"/>
      <c r="CN464" s="323"/>
      <c r="CO464" s="323"/>
      <c r="CP464" s="428"/>
      <c r="CQ464" s="441"/>
      <c r="CR464" s="323"/>
      <c r="CS464" s="323"/>
      <c r="CT464" s="323"/>
      <c r="CU464" s="323"/>
      <c r="CV464" s="323"/>
      <c r="CW464" s="323"/>
      <c r="CX464" s="323"/>
      <c r="CY464" s="323"/>
      <c r="CZ464" s="323"/>
    </row>
    <row r="465" spans="1:104" ht="39.5" customHeight="1" x14ac:dyDescent="0.35">
      <c r="B465" s="205" t="str">
        <f>'LCA data'!$B$8</f>
        <v>Udvendig beklædning</v>
      </c>
      <c r="C465" s="465">
        <f>$C$48</f>
        <v>0</v>
      </c>
      <c r="D465" s="15" t="s">
        <v>103</v>
      </c>
      <c r="E465" s="342" t="str">
        <f>IF($E$464="Ja",D465,VLOOKUP(B465,Auto_Kælder_Ydervæg[],2,0))</f>
        <v>Angiv ikke</v>
      </c>
      <c r="F465" s="356">
        <f>(VLOOKUP(E465,Pris.udvendig.beklædning[],4,0))/1000</f>
        <v>0</v>
      </c>
      <c r="G465" s="350"/>
      <c r="H465" s="351" t="str">
        <f>IFERROR(IF(VLOOKUP(B465&amp;"_"&amp;E465,'LCA data'!$B$7:$X$200,2,FALSE)&lt;$Y$24,1,0)+IF(VLOOKUP(B465&amp;"_"&amp;E465,'LCA data'!$B$7:$X$200,2,FALSE)*2&lt;$Y$24,1,0),"")</f>
        <v/>
      </c>
      <c r="I465" s="15" t="s">
        <v>103</v>
      </c>
      <c r="J465" s="342" t="str">
        <f>IF($J$464="Ja",I465,VLOOKUP(B465,Auto_Kælder_Ydervæg[],3,0))</f>
        <v>Angiv ikke</v>
      </c>
      <c r="K465" s="513">
        <f>(VLOOKUP(J465,Pris.udvendig.beklædning[],4,0))/1000</f>
        <v>0</v>
      </c>
      <c r="L465" s="514"/>
      <c r="M465" s="515" t="str">
        <f>IFERROR(IF(VLOOKUP(B465&amp;"_"&amp;J465,'LCA data'!$B$7:$X$200,2,FALSE)&lt;$Y$24,1,0)+IF(VLOOKUP(B465&amp;"_"&amp;J465,'LCA data'!$B$7:$X$200,2,FALSE)*2&lt;$Y$24,1,0),"")</f>
        <v/>
      </c>
      <c r="N465" s="206">
        <f>W465/1000</f>
        <v>0</v>
      </c>
      <c r="O465" s="878">
        <f>SUM(N465:N469)</f>
        <v>0</v>
      </c>
      <c r="P465" s="207">
        <f>X465/1000</f>
        <v>0</v>
      </c>
      <c r="Q465" s="888">
        <f>SUM(P465:P469)</f>
        <v>0</v>
      </c>
      <c r="R465" s="192"/>
      <c r="S465" s="196"/>
      <c r="U465" s="251"/>
      <c r="V465" s="251"/>
      <c r="W465" s="323">
        <f>IF(E465="Angiv ikke",0,((1+H465)*VLOOKUP(B465&amp;"_"&amp;E465,'LCA data'!$B$7:$X$360,19,FALSE)*(F465*10^3)*C465))</f>
        <v>0</v>
      </c>
      <c r="X465" s="323">
        <f>IF(J465="Angiv ikke",0,((1+M465)*VLOOKUP(B465&amp;"_"&amp;J465,'LCA data'!$B$7:$X$360,19,FALSE)*(K465*10^3)*C465))</f>
        <v>0</v>
      </c>
      <c r="Y465" s="323"/>
      <c r="Z465" s="323"/>
      <c r="AA465" s="323" t="s">
        <v>4</v>
      </c>
      <c r="AB465" s="323">
        <f>AF465/$J$21/$Y$24*1000</f>
        <v>0</v>
      </c>
      <c r="AC465" s="323">
        <f>Varmetab!H421</f>
        <v>0</v>
      </c>
      <c r="AD465" s="323">
        <f>AB465+AC465</f>
        <v>0</v>
      </c>
      <c r="AE465" s="323" t="s">
        <v>4</v>
      </c>
      <c r="AF465" s="323">
        <f>W464/1000</f>
        <v>0</v>
      </c>
      <c r="AG465" s="323"/>
      <c r="AH465" s="323"/>
      <c r="AI465" s="323" t="str">
        <f>'LCA data'!$B$52</f>
        <v>Indvendig konstruktion</v>
      </c>
      <c r="AJ465" s="323">
        <f>VLOOKUP(E468,Pris.indvendig.konstruktion[],2,0)*F468*C468</f>
        <v>0</v>
      </c>
      <c r="AK465" s="323">
        <f>VLOOKUP(J468,Pris.indvendig.konstruktion[],2,0)*K468*C468</f>
        <v>0</v>
      </c>
      <c r="AL465" s="323"/>
      <c r="AM465" s="323"/>
      <c r="AN465" s="323">
        <f>IF(E465="Angiv ikke",0,((1+H465)*VLOOKUP(B465&amp;"_"&amp;E465,'LCA data'!$B$7:$X$360,20,FALSE)*(F465*10^3)*C465))</f>
        <v>0</v>
      </c>
      <c r="AO465" s="323">
        <f>IF(J465="Angiv ikke",0,((1+M465)*VLOOKUP(B465&amp;"_"&amp;J465,'LCA data'!$B$7:$X$360,20,FALSE)*(K465*10^3)*C465))</f>
        <v>0</v>
      </c>
      <c r="AP465" s="323"/>
      <c r="AQ465" s="323"/>
      <c r="AR465" s="323">
        <f>IF(E465="Angiv ikke",0,((1+H465)*VLOOKUP(B465&amp;"_"&amp;E465,'LCA data'!$B$7:$AA$360,26,FALSE)*(F465*10^3)*C465))</f>
        <v>0</v>
      </c>
      <c r="AS465" s="323">
        <f>IF(J465="Angiv ikke",0,((1+M465)*VLOOKUP(B465&amp;"_"&amp;J465,'LCA data'!$B$7:$AA$360,26,FALSE)*(K465*10^3)*C465))</f>
        <v>0</v>
      </c>
      <c r="AT465" s="323"/>
      <c r="AU465" s="323"/>
      <c r="AV465" s="323"/>
      <c r="AW465" s="323"/>
      <c r="AX465" s="323"/>
      <c r="AY465" s="323"/>
      <c r="AZ465" s="323"/>
      <c r="BA465" s="323"/>
      <c r="BB465" s="323"/>
      <c r="BC465" s="323"/>
      <c r="BD465" s="323"/>
      <c r="BE465" s="323"/>
      <c r="BF465" s="323"/>
      <c r="BG465" s="323"/>
      <c r="BH465" s="323"/>
      <c r="BI465" s="323"/>
      <c r="BJ465" s="323"/>
      <c r="BK465" s="323"/>
      <c r="BL465" s="323"/>
      <c r="BM465" s="323"/>
      <c r="BN465" s="323"/>
      <c r="BO465" s="323"/>
      <c r="BP465" s="323"/>
      <c r="BQ465" s="323"/>
      <c r="BR465" s="323"/>
      <c r="BS465" s="323"/>
      <c r="BT465" s="323"/>
      <c r="BU465" s="323"/>
      <c r="BV465" s="323"/>
      <c r="BW465" s="323"/>
      <c r="BX465" s="323"/>
      <c r="BY465" s="323"/>
      <c r="BZ465" s="323"/>
      <c r="CA465" s="323"/>
      <c r="CB465" s="323"/>
      <c r="CC465" s="323"/>
      <c r="CD465" s="323"/>
      <c r="CE465" s="323"/>
      <c r="CF465" s="323"/>
      <c r="CG465" s="323"/>
      <c r="CH465" s="323"/>
      <c r="CI465" s="323"/>
      <c r="CJ465" s="323"/>
      <c r="CK465" s="323"/>
      <c r="CL465" s="323"/>
      <c r="CM465" s="323"/>
      <c r="CN465" s="323"/>
      <c r="CO465" s="323"/>
      <c r="CP465" s="428"/>
      <c r="CQ465" s="441"/>
      <c r="CR465" s="323"/>
      <c r="CS465" s="323"/>
      <c r="CT465" s="323"/>
      <c r="CU465" s="323"/>
      <c r="CV465" s="323"/>
      <c r="CW465" s="323"/>
      <c r="CX465" s="323"/>
      <c r="CY465" s="323"/>
      <c r="CZ465" s="323"/>
    </row>
    <row r="466" spans="1:104" ht="39.5" customHeight="1" x14ac:dyDescent="0.35">
      <c r="B466" s="205" t="str">
        <f>'LCA data'!$B$25</f>
        <v>Udvendig konstruktion</v>
      </c>
      <c r="C466" s="465">
        <f>$C$48</f>
        <v>0</v>
      </c>
      <c r="D466" s="168" t="s">
        <v>103</v>
      </c>
      <c r="E466" s="342" t="str">
        <f>IF($E$464="Ja",D466,VLOOKUP(B466,Auto_Kælder_Ydervæg[],2,0))</f>
        <v>Angiv ikke</v>
      </c>
      <c r="F466" s="356"/>
      <c r="G466" s="353"/>
      <c r="H466" s="351" t="str">
        <f>IFERROR(IF(VLOOKUP(B466&amp;"_"&amp;E466,'LCA data'!$B$7:$X$200,2,FALSE)&lt;$Y$24,1,0)+IF(VLOOKUP(B466&amp;"_"&amp;E466,'LCA data'!$B$7:$X$200,2,FALSE)*2&lt;$Y$24,1,0),"")</f>
        <v/>
      </c>
      <c r="I466" s="168" t="s">
        <v>103</v>
      </c>
      <c r="J466" s="342" t="str">
        <f>IF($J$464="Ja",I466,VLOOKUP(B466,Auto_Kælder_Ydervæg[],3,0))</f>
        <v>Angiv ikke</v>
      </c>
      <c r="K466" s="513"/>
      <c r="L466" s="514"/>
      <c r="M466" s="515" t="str">
        <f>IFERROR(IF(VLOOKUP(B466&amp;"_"&amp;J466,'LCA data'!$B$7:$X$200,2,FALSE)&lt;$Y$24,1,0)+IF(VLOOKUP(B466&amp;"_"&amp;J466,'LCA data'!$B$7:$X$200,2,FALSE)*2&lt;$Y$24,1,0),"")</f>
        <v/>
      </c>
      <c r="N466" s="206">
        <f>W466/1000</f>
        <v>0</v>
      </c>
      <c r="O466" s="878"/>
      <c r="P466" s="207">
        <f>X466/1000</f>
        <v>0</v>
      </c>
      <c r="Q466" s="889"/>
      <c r="R466" s="192"/>
      <c r="S466" s="196"/>
      <c r="U466" s="251"/>
      <c r="V466" s="251"/>
      <c r="W466" s="323">
        <f>IF(E466="Angiv ikke",0,((1+H466)*VLOOKUP(B466&amp;"_"&amp;E466,'LCA data'!$B$7:$X$360,19,FALSE)*C466))</f>
        <v>0</v>
      </c>
      <c r="X466" s="323">
        <f>IF(J466="Angiv ikke",0,((1+M466)*VLOOKUP(B466&amp;"_"&amp;J466,'LCA data'!$B$7:$X$360,19,FALSE)*C466))</f>
        <v>0</v>
      </c>
      <c r="Y466" s="323"/>
      <c r="Z466" s="323"/>
      <c r="AA466" s="323" t="s">
        <v>5</v>
      </c>
      <c r="AB466" s="323">
        <f>AG466/$J$21/$Y$24*1000</f>
        <v>0</v>
      </c>
      <c r="AC466" s="323">
        <f>Varmetab!I421</f>
        <v>0</v>
      </c>
      <c r="AD466" s="323">
        <f>AB466+AC466</f>
        <v>0</v>
      </c>
      <c r="AE466" s="323" t="s">
        <v>5</v>
      </c>
      <c r="AF466" s="323"/>
      <c r="AG466" s="323">
        <f>X464/1000</f>
        <v>0</v>
      </c>
      <c r="AH466" s="323"/>
      <c r="AI466" s="323" t="str">
        <f>'LCA data'!$B$65</f>
        <v>Indvendig beklædning</v>
      </c>
      <c r="AJ466" s="323">
        <f>VLOOKUP(E469,Pris.indvendig.beklædning[],2,0)*C469</f>
        <v>0</v>
      </c>
      <c r="AK466" s="323">
        <f>VLOOKUP(J469,Pris.indvendig.beklædning[],2,0)*C469</f>
        <v>0</v>
      </c>
      <c r="AL466" s="323"/>
      <c r="AM466" s="323"/>
      <c r="AN466" s="323">
        <f>IF(E466="Angiv ikke",0,((1+H466)*VLOOKUP(B466&amp;"_"&amp;E466,'LCA data'!$B$7:$X$360,20,FALSE)*(F466*10^3)*C466))</f>
        <v>0</v>
      </c>
      <c r="AO466" s="323">
        <f>IF(J466="Angiv ikke",0,((1+M466)*VLOOKUP(B466&amp;"_"&amp;J466,'LCA data'!$B$7:$X$360,20,FALSE)*(K466*10^3)*C466))</f>
        <v>0</v>
      </c>
      <c r="AP466" s="323"/>
      <c r="AQ466" s="323"/>
      <c r="AR466" s="323">
        <f>IF(E466="Angiv ikke",0,((1+H466)*VLOOKUP(B466&amp;"_"&amp;E466,'LCA data'!$B$7:$AA$360,26,FALSE)*(F466*10^3)*C466))</f>
        <v>0</v>
      </c>
      <c r="AS466" s="323">
        <f>IF(J466="Angiv ikke",0,((1+M466)*VLOOKUP(B466&amp;"_"&amp;J466,'LCA data'!$B$7:$AA$360,26,FALSE)*(K466*10^3)*C466))</f>
        <v>0</v>
      </c>
      <c r="AT466" s="323"/>
      <c r="AU466" s="323"/>
      <c r="AV466" s="323"/>
      <c r="AW466" s="323"/>
      <c r="AX466" s="323"/>
      <c r="AY466" s="323"/>
      <c r="AZ466" s="323"/>
      <c r="BA466" s="323"/>
      <c r="BB466" s="323"/>
      <c r="BC466" s="323"/>
      <c r="BD466" s="323"/>
      <c r="BE466" s="323"/>
      <c r="BF466" s="323"/>
      <c r="BG466" s="323"/>
      <c r="BH466" s="323"/>
      <c r="BI466" s="323"/>
      <c r="BJ466" s="323"/>
      <c r="BK466" s="323"/>
      <c r="BL466" s="323"/>
      <c r="BM466" s="323"/>
      <c r="BN466" s="323"/>
      <c r="BO466" s="323"/>
      <c r="BP466" s="323"/>
      <c r="BQ466" s="323"/>
      <c r="BR466" s="323"/>
      <c r="BS466" s="323"/>
      <c r="BT466" s="323"/>
      <c r="BU466" s="323"/>
      <c r="BV466" s="323"/>
      <c r="BW466" s="323"/>
      <c r="BX466" s="323"/>
      <c r="BY466" s="323"/>
      <c r="BZ466" s="323"/>
      <c r="CA466" s="323"/>
      <c r="CB466" s="323"/>
      <c r="CC466" s="323"/>
      <c r="CD466" s="323"/>
      <c r="CE466" s="323"/>
      <c r="CF466" s="323"/>
      <c r="CG466" s="323"/>
      <c r="CH466" s="323"/>
      <c r="CI466" s="323"/>
      <c r="CJ466" s="323"/>
      <c r="CK466" s="323"/>
      <c r="CL466" s="323"/>
      <c r="CM466" s="323"/>
      <c r="CN466" s="323"/>
      <c r="CO466" s="323"/>
      <c r="CP466" s="428"/>
      <c r="CQ466" s="441"/>
      <c r="CR466" s="323"/>
      <c r="CS466" s="323"/>
      <c r="CT466" s="323"/>
      <c r="CU466" s="323"/>
      <c r="CV466" s="323"/>
      <c r="CW466" s="323"/>
      <c r="CX466" s="323"/>
      <c r="CY466" s="323"/>
      <c r="CZ466" s="323"/>
    </row>
    <row r="467" spans="1:104" ht="39.5" customHeight="1" thickBot="1" x14ac:dyDescent="0.4">
      <c r="B467" s="208" t="str">
        <f>'LCA data'!$B$32</f>
        <v>Isolering</v>
      </c>
      <c r="C467" s="465">
        <f>$C$48</f>
        <v>0</v>
      </c>
      <c r="D467" s="169" t="s">
        <v>103</v>
      </c>
      <c r="E467" s="342" t="str">
        <f>IF($E$464="Ja",D467,VLOOKUP(B467,Auto_Kælder_Ydervæg[],2,0))</f>
        <v>EPS</v>
      </c>
      <c r="F467" s="172">
        <v>0.15</v>
      </c>
      <c r="G467" s="473">
        <f>VLOOKUP(E467,Isoleringsmateriale[],2,0)</f>
        <v>3.1E-2</v>
      </c>
      <c r="H467" s="351">
        <f>IFERROR(IF(VLOOKUP(B467&amp;"_"&amp;E467,'LCA data'!$B$7:$X$200,2,FALSE)&lt;$Y$24,1,0)+IF(VLOOKUP(B467&amp;"_"&amp;E467,'LCA data'!$B$7:$X$200,2,FALSE)*2&lt;$Y$24,1,0),"")</f>
        <v>0</v>
      </c>
      <c r="I467" s="169" t="s">
        <v>103</v>
      </c>
      <c r="J467" s="342" t="str">
        <f>IF($J$464="Ja",I467,VLOOKUP(B467,Auto_Kælder_Ydervæg[],3,0))</f>
        <v>EPS</v>
      </c>
      <c r="K467" s="172">
        <v>0.15</v>
      </c>
      <c r="L467" s="473">
        <f>VLOOKUP(J467,Isoleringsmateriale[],2,0)</f>
        <v>3.1E-2</v>
      </c>
      <c r="M467" s="515">
        <f>IFERROR(IF(VLOOKUP(B467&amp;"_"&amp;J467,'LCA data'!$B$7:$X$200,2,FALSE)&lt;$Y$24,1,0)+IF(VLOOKUP(B467&amp;"_"&amp;J467,'LCA data'!$B$7:$X$200,2,FALSE)*2&lt;$Y$24,1,0),"")</f>
        <v>0</v>
      </c>
      <c r="N467" s="206">
        <f>IFERROR(W467/1000,0)</f>
        <v>0</v>
      </c>
      <c r="O467" s="878"/>
      <c r="P467" s="207">
        <f>IFERROR(X467/1000,0)</f>
        <v>0</v>
      </c>
      <c r="Q467" s="889"/>
      <c r="R467" s="192"/>
      <c r="S467" s="196"/>
      <c r="U467" s="251"/>
      <c r="V467" s="251"/>
      <c r="W467" s="323">
        <f>IFERROR(IF(E467="Angiv ikke",0,((1+H467)*VLOOKUP(B467&amp;"_"&amp;E467,'LCA data'!$B$7:$X$360,19,FALSE)*(F467*10^3)*C467)),"0")</f>
        <v>0</v>
      </c>
      <c r="X467" s="323">
        <f>IFERROR(IF(J467="Angiv ikke",0,((1+M467)*VLOOKUP(B467&amp;"_"&amp;J467,'LCA data'!$B$7:$X$360,19,FALSE)*(K467*10^3)*C467)),"0")</f>
        <v>0</v>
      </c>
      <c r="Y467" s="323">
        <f>IF(G467="_",0,Varmetab!H421*$J$21*$Y$24)</f>
        <v>0</v>
      </c>
      <c r="Z467" s="323">
        <f>IF(L467="_",0,Varmetab!I421*$J$21*$Y$24)</f>
        <v>0</v>
      </c>
      <c r="AA467" s="323"/>
      <c r="AB467" s="323"/>
      <c r="AC467" s="323"/>
      <c r="AD467" s="323"/>
      <c r="AE467" s="323"/>
      <c r="AF467" s="323"/>
      <c r="AG467" s="323"/>
      <c r="AH467" s="323"/>
      <c r="AI467" s="323" t="s">
        <v>743</v>
      </c>
      <c r="AJ467" s="323">
        <f>SUM(AJ462:AJ466)</f>
        <v>0</v>
      </c>
      <c r="AK467" s="323">
        <f>SUM(AK462:AK466)</f>
        <v>0</v>
      </c>
      <c r="AL467" s="323"/>
      <c r="AM467" s="323"/>
      <c r="AN467" s="323">
        <f>IF(E467="Angiv ikke",0,((1+H467)*VLOOKUP(B467&amp;"_"&amp;E467,'LCA data'!$B$7:$X$360,20,FALSE)*(F467*10^3)*C467))</f>
        <v>0</v>
      </c>
      <c r="AO467" s="323">
        <f>IF(J467="Angiv ikke",0,((1+M467)*VLOOKUP(B467&amp;"_"&amp;J467,'LCA data'!$B$7:$X$360,20,FALSE)*(K467*10^3)*C467))</f>
        <v>0</v>
      </c>
      <c r="AP467" s="323"/>
      <c r="AQ467" s="323"/>
      <c r="AR467" s="323">
        <f>IF(E467="Angiv ikke",0,((1+H467)*VLOOKUP(B467&amp;"_"&amp;E467,'LCA data'!$B$7:$AA$360,26,FALSE)*(F467*10^3)*C467))</f>
        <v>0</v>
      </c>
      <c r="AS467" s="323">
        <f>IF(J467="Angiv ikke",0,((1+M467)*VLOOKUP(B467&amp;"_"&amp;J467,'LCA data'!$B$7:$AA$360,26,FALSE)*(K467*10^3)*C467))</f>
        <v>0</v>
      </c>
      <c r="AT467" s="323"/>
      <c r="AU467" s="323"/>
      <c r="AV467" s="323"/>
      <c r="AW467" s="323"/>
      <c r="AX467" s="323"/>
      <c r="AY467" s="323"/>
      <c r="AZ467" s="323"/>
      <c r="BA467" s="323"/>
      <c r="BB467" s="323"/>
      <c r="BC467" s="323"/>
      <c r="BD467" s="323"/>
      <c r="BE467" s="323"/>
      <c r="BF467" s="323"/>
      <c r="BG467" s="323"/>
      <c r="BH467" s="323"/>
      <c r="BI467" s="323"/>
      <c r="BJ467" s="323"/>
      <c r="BK467" s="323"/>
      <c r="BL467" s="323"/>
      <c r="BM467" s="323"/>
      <c r="BN467" s="323"/>
      <c r="BO467" s="323"/>
      <c r="BP467" s="323"/>
      <c r="BQ467" s="323"/>
      <c r="BR467" s="323"/>
      <c r="BS467" s="323"/>
      <c r="BT467" s="323"/>
      <c r="BU467" s="323"/>
      <c r="BV467" s="323"/>
      <c r="BW467" s="323"/>
      <c r="BX467" s="323"/>
      <c r="BY467" s="323"/>
      <c r="BZ467" s="323"/>
      <c r="CA467" s="323"/>
      <c r="CB467" s="323"/>
      <c r="CC467" s="323"/>
      <c r="CD467" s="323"/>
      <c r="CE467" s="323"/>
      <c r="CF467" s="323"/>
      <c r="CG467" s="323"/>
      <c r="CH467" s="323"/>
      <c r="CI467" s="323"/>
      <c r="CJ467" s="323"/>
      <c r="CK467" s="323"/>
      <c r="CL467" s="323"/>
      <c r="CM467" s="323"/>
      <c r="CN467" s="323"/>
      <c r="CO467" s="323"/>
      <c r="CP467" s="439"/>
      <c r="CQ467" s="440"/>
      <c r="CR467" s="323"/>
      <c r="CS467" s="323"/>
      <c r="CT467" s="323"/>
      <c r="CU467" s="323"/>
      <c r="CV467" s="323"/>
      <c r="CW467" s="323"/>
      <c r="CX467" s="323"/>
      <c r="CY467" s="323"/>
      <c r="CZ467" s="323"/>
    </row>
    <row r="468" spans="1:104" ht="39.5" customHeight="1" x14ac:dyDescent="0.35">
      <c r="B468" s="205" t="str">
        <f>'LCA data'!$B$52</f>
        <v>Indvendig konstruktion</v>
      </c>
      <c r="C468" s="465">
        <f>$C$48</f>
        <v>0</v>
      </c>
      <c r="D468" s="16" t="s">
        <v>103</v>
      </c>
      <c r="E468" s="342" t="str">
        <f>IF($E$464="Ja",D468,VLOOKUP(B468,Auto_Kælder_Ydervæg[],2,0))</f>
        <v>Betonelement C30/37</v>
      </c>
      <c r="F468" s="11">
        <v>0.36</v>
      </c>
      <c r="G468" s="350"/>
      <c r="H468" s="351">
        <f>IFERROR(IF(VLOOKUP(B468&amp;"_"&amp;E468,'LCA data'!$B$7:$X$200,2,FALSE)&lt;$Y$24,1,0)+IF(VLOOKUP(B468&amp;"_"&amp;E468,'LCA data'!$B$7:$X$200,2,FALSE)*2&lt;$Y$24,1,0),"")</f>
        <v>0</v>
      </c>
      <c r="I468" s="16" t="s">
        <v>103</v>
      </c>
      <c r="J468" s="342" t="str">
        <f>IF($J$464="Ja",I468,VLOOKUP(B468,Auto_Kælder_Ydervæg[],3,0))</f>
        <v>Betonelement C30/37</v>
      </c>
      <c r="K468" s="11">
        <v>0.36</v>
      </c>
      <c r="L468" s="514"/>
      <c r="M468" s="515">
        <f>IFERROR(IF(VLOOKUP(B468&amp;"_"&amp;J468,'LCA data'!$B$7:$X$200,2,FALSE)&lt;$Y$24,1,0)+IF(VLOOKUP(B468&amp;"_"&amp;J468,'LCA data'!$B$7:$X$200,2,FALSE)*2&lt;$Y$24,1,0),"")</f>
        <v>0</v>
      </c>
      <c r="N468" s="206">
        <f>W468/1000</f>
        <v>0</v>
      </c>
      <c r="O468" s="878"/>
      <c r="P468" s="207">
        <f>X468/1000</f>
        <v>0</v>
      </c>
      <c r="Q468" s="889"/>
      <c r="R468" s="192"/>
      <c r="S468" s="196"/>
      <c r="U468" s="251"/>
      <c r="V468" s="251"/>
      <c r="W468" s="323">
        <f>IF(E468="Angiv ikke",0,((1+H468)*VLOOKUP(B468&amp;"_"&amp;E468,'LCA data'!$B$7:$X$360,19,FALSE)*(F468*10^3)*C468))</f>
        <v>0</v>
      </c>
      <c r="X468" s="323">
        <f>IF(J468="Angiv ikke",0,((1+M468)*VLOOKUP(B468&amp;"_"&amp;J468,'LCA data'!$B$7:$X$360,19,FALSE)*(K468*10^3)*C468))</f>
        <v>0</v>
      </c>
      <c r="Y468" s="323"/>
      <c r="Z468" s="323"/>
      <c r="AA468" s="323"/>
      <c r="AB468" s="323"/>
      <c r="AC468" s="323"/>
      <c r="AD468" s="323"/>
      <c r="AE468" s="323"/>
      <c r="AF468" s="323"/>
      <c r="AG468" s="323"/>
      <c r="AH468" s="323"/>
      <c r="AI468" s="323"/>
      <c r="AJ468" s="323"/>
      <c r="AK468" s="323"/>
      <c r="AL468" s="323"/>
      <c r="AM468" s="323"/>
      <c r="AN468" s="323">
        <f>IF(E468="Angiv ikke",0,((1+H468)*VLOOKUP(B468&amp;"_"&amp;E468,'LCA data'!$B$7:$X$360,20,FALSE)*(F468*10^3)*C468))</f>
        <v>0</v>
      </c>
      <c r="AO468" s="323">
        <f>IF(J468="Angiv ikke",0,((1+M468)*VLOOKUP(B468&amp;"_"&amp;J468,'LCA data'!$B$7:$X$360,20,FALSE)*(K468*10^3)*C468))</f>
        <v>0</v>
      </c>
      <c r="AP468" s="323"/>
      <c r="AQ468" s="323"/>
      <c r="AR468" s="323">
        <f>IF(E468="Angiv ikke",0,((1+H468)*VLOOKUP(B468&amp;"_"&amp;E468,'LCA data'!$B$7:$AA$360,26,FALSE)*(F468*10^3)*C468))</f>
        <v>0</v>
      </c>
      <c r="AS468" s="323">
        <f>IF(J468="Angiv ikke",0,((1+M468)*VLOOKUP(B468&amp;"_"&amp;J468,'LCA data'!$B$7:$AA$360,26,FALSE)*(K468*10^3)*C468))</f>
        <v>0</v>
      </c>
      <c r="AT468" s="323"/>
      <c r="AU468" s="323"/>
      <c r="AV468" s="323"/>
      <c r="AW468" s="323"/>
      <c r="AX468" s="323"/>
      <c r="AY468" s="323"/>
      <c r="AZ468" s="323"/>
      <c r="BA468" s="323"/>
      <c r="BB468" s="323"/>
      <c r="BC468" s="323"/>
      <c r="BD468" s="323"/>
      <c r="BE468" s="323"/>
      <c r="BF468" s="323"/>
      <c r="BG468" s="323"/>
      <c r="BH468" s="323"/>
      <c r="BI468" s="323"/>
      <c r="BJ468" s="323"/>
      <c r="BK468" s="323"/>
      <c r="BL468" s="323"/>
      <c r="BM468" s="323"/>
      <c r="BN468" s="323"/>
      <c r="BO468" s="323"/>
      <c r="BP468" s="323"/>
      <c r="BQ468" s="323"/>
      <c r="BR468" s="323"/>
      <c r="BS468" s="323"/>
      <c r="BT468" s="323"/>
      <c r="BU468" s="323"/>
      <c r="BV468" s="323"/>
      <c r="BW468" s="323"/>
      <c r="BX468" s="323"/>
      <c r="BY468" s="323"/>
      <c r="BZ468" s="323"/>
      <c r="CA468" s="323"/>
      <c r="CB468" s="323"/>
      <c r="CC468" s="323"/>
      <c r="CD468" s="323"/>
      <c r="CE468" s="323"/>
      <c r="CF468" s="323"/>
      <c r="CG468" s="323"/>
      <c r="CH468" s="323"/>
      <c r="CI468" s="323"/>
      <c r="CJ468" s="323"/>
      <c r="CK468" s="323"/>
      <c r="CL468" s="323"/>
      <c r="CM468" s="323"/>
      <c r="CN468" s="323"/>
      <c r="CO468" s="323"/>
      <c r="CP468" s="429" t="s">
        <v>77</v>
      </c>
      <c r="CQ468" s="430"/>
      <c r="CR468" s="323"/>
      <c r="CS468" s="323"/>
      <c r="CT468" s="323"/>
      <c r="CU468" s="323"/>
      <c r="CV468" s="323"/>
      <c r="CW468" s="323"/>
      <c r="CX468" s="323"/>
      <c r="CY468" s="323"/>
      <c r="CZ468" s="323"/>
    </row>
    <row r="469" spans="1:104" ht="39.5" customHeight="1" collapsed="1" thickBot="1" x14ac:dyDescent="0.4">
      <c r="B469" s="209" t="str">
        <f>'LCA data'!$B$65</f>
        <v>Indvendig beklædning</v>
      </c>
      <c r="C469" s="464">
        <f>$C$48</f>
        <v>0</v>
      </c>
      <c r="D469" s="171" t="s">
        <v>103</v>
      </c>
      <c r="E469" s="382" t="str">
        <f>IF($E$464="Ja",D469,VLOOKUP(B469,Auto_Kælder_Ydervæg[],2,0))</f>
        <v>Angiv ikke</v>
      </c>
      <c r="F469" s="459">
        <f>(VLOOKUP(E469,Pris.indvendig.beklædning[],4,0))/1000</f>
        <v>0</v>
      </c>
      <c r="G469" s="354"/>
      <c r="H469" s="355" t="str">
        <f>IFERROR(IF(VLOOKUP(B469&amp;"_"&amp;E469,'LCA data'!$B$7:$X$200,2,FALSE)&lt;$Y$24,1,0)+IF(VLOOKUP(B469&amp;"_"&amp;E469,'LCA data'!$B$7:$X$200,2,FALSE)*2&lt;$Y$24,1,0),"")</f>
        <v/>
      </c>
      <c r="I469" s="171" t="s">
        <v>103</v>
      </c>
      <c r="J469" s="344" t="str">
        <f>IF($J$464="Ja",I469,VLOOKUP(B469,Auto_Kælder_Ydervæg[],3,0))</f>
        <v>Angiv ikke</v>
      </c>
      <c r="K469" s="518">
        <f>(VLOOKUP(J469,Pris.indvendig.beklædning[],4,0))/1000</f>
        <v>0</v>
      </c>
      <c r="L469" s="519"/>
      <c r="M469" s="520" t="str">
        <f>IFERROR(IF(VLOOKUP(B469&amp;"_"&amp;J469,'LCA data'!$B$7:$X$200,2,FALSE)&lt;$Y$24,1,0)+IF(VLOOKUP(B469&amp;"_"&amp;J469,'LCA data'!$B$7:$X$200,2,FALSE)*2&lt;$Y$24,1,0),"")</f>
        <v/>
      </c>
      <c r="N469" s="210">
        <f>W469/1000</f>
        <v>0</v>
      </c>
      <c r="O469" s="879"/>
      <c r="P469" s="211">
        <f>X469/1000</f>
        <v>0</v>
      </c>
      <c r="Q469" s="890"/>
      <c r="R469" s="212"/>
      <c r="S469" s="213"/>
      <c r="U469" s="251"/>
      <c r="V469" s="251"/>
      <c r="W469" s="323">
        <f>IF(E469="Angiv ikke",0,((1+H469)*VLOOKUP(B469&amp;"_"&amp;E469,'LCA data'!$B$7:$X$360,19,FALSE)*(F469*10^3)*C469))</f>
        <v>0</v>
      </c>
      <c r="X469" s="323">
        <f>IF(J469="Angiv ikke",0,((1+M469)*VLOOKUP(B469&amp;"_"&amp;J469,'LCA data'!$B$7:$X$360,19,FALSE)*(K469*10^3)*C469))</f>
        <v>0</v>
      </c>
      <c r="Y469" s="323"/>
      <c r="Z469" s="323"/>
      <c r="AA469" s="323"/>
      <c r="AB469" s="323"/>
      <c r="AC469" s="323"/>
      <c r="AD469" s="323"/>
      <c r="AE469" s="323"/>
      <c r="AF469" s="323"/>
      <c r="AG469" s="323"/>
      <c r="AH469" s="323"/>
      <c r="AI469" s="323"/>
      <c r="AJ469" s="323"/>
      <c r="AK469" s="323"/>
      <c r="AL469" s="323"/>
      <c r="AM469" s="323"/>
      <c r="AN469" s="323">
        <f>IF(E469="Angiv ikke",0,((1+H469)*VLOOKUP(B469&amp;"_"&amp;E469,'LCA data'!$B$7:$X$360,20,FALSE)*(F469*10^3)*C469))</f>
        <v>0</v>
      </c>
      <c r="AO469" s="323">
        <f>IF(J469="Angiv ikke",0,((1+M469)*VLOOKUP(B469&amp;"_"&amp;J469,'LCA data'!$B$7:$X$360,20,FALSE)*(K469*10^3)*C469))</f>
        <v>0</v>
      </c>
      <c r="AP469" s="323"/>
      <c r="AQ469" s="323"/>
      <c r="AR469" s="323">
        <f>IF(E469="Angiv ikke",0,((1+H469)*VLOOKUP(B469&amp;"_"&amp;E469,'LCA data'!$B$7:$AA$360,26,FALSE)*(F469*10^3)*C469))</f>
        <v>0</v>
      </c>
      <c r="AS469" s="323">
        <f>IF(J469="Angiv ikke",0,((1+M469)*VLOOKUP(B469&amp;"_"&amp;J469,'LCA data'!$B$7:$AA$360,26,FALSE)*(K469*10^3)*C469))</f>
        <v>0</v>
      </c>
      <c r="AT469" s="323"/>
      <c r="AU469" s="323"/>
      <c r="AV469" s="323"/>
      <c r="AW469" s="323"/>
      <c r="AX469" s="323"/>
      <c r="AY469" s="323"/>
      <c r="AZ469" s="323"/>
      <c r="BA469" s="323"/>
      <c r="BB469" s="323"/>
      <c r="BC469" s="323"/>
      <c r="BD469" s="323"/>
      <c r="BE469" s="323"/>
      <c r="BF469" s="323"/>
      <c r="BG469" s="323"/>
      <c r="BH469" s="323"/>
      <c r="BI469" s="323"/>
      <c r="BJ469" s="323"/>
      <c r="BK469" s="323"/>
      <c r="BL469" s="323"/>
      <c r="BM469" s="323"/>
      <c r="BN469" s="323"/>
      <c r="BO469" s="323"/>
      <c r="BP469" s="323"/>
      <c r="BQ469" s="323"/>
      <c r="BR469" s="323"/>
      <c r="BS469" s="323"/>
      <c r="BT469" s="323"/>
      <c r="BU469" s="323"/>
      <c r="BV469" s="323"/>
      <c r="BW469" s="323"/>
      <c r="BX469" s="323"/>
      <c r="BY469" s="323"/>
      <c r="BZ469" s="323"/>
      <c r="CA469" s="323"/>
      <c r="CB469" s="323"/>
      <c r="CC469" s="323"/>
      <c r="CD469" s="323"/>
      <c r="CE469" s="323"/>
      <c r="CF469" s="323"/>
      <c r="CG469" s="323"/>
      <c r="CH469" s="323"/>
      <c r="CI469" s="323"/>
      <c r="CJ469" s="323"/>
      <c r="CK469" s="323"/>
      <c r="CL469" s="323"/>
      <c r="CM469" s="323"/>
      <c r="CN469" s="323"/>
      <c r="CO469" s="323"/>
      <c r="CP469" s="431"/>
      <c r="CQ469" s="432"/>
      <c r="CR469" s="323"/>
      <c r="CS469" s="323"/>
      <c r="CT469" s="323"/>
      <c r="CU469" s="323"/>
      <c r="CV469" s="323"/>
      <c r="CW469" s="323"/>
      <c r="CX469" s="323"/>
      <c r="CY469" s="323"/>
      <c r="CZ469" s="323"/>
    </row>
    <row r="470" spans="1:104" ht="25" customHeight="1" x14ac:dyDescent="0.35">
      <c r="B470" s="173" t="s">
        <v>130</v>
      </c>
      <c r="C470" s="174"/>
      <c r="E470" s="174"/>
      <c r="F470" s="174"/>
      <c r="G470" s="174"/>
      <c r="H470" s="174"/>
      <c r="J470" s="174"/>
      <c r="K470" s="174"/>
      <c r="L470" s="174"/>
      <c r="M470" s="174"/>
      <c r="N470" s="174"/>
      <c r="O470" s="174"/>
      <c r="P470" s="174"/>
      <c r="Q470" s="174"/>
      <c r="R470" s="174"/>
      <c r="S470" s="174"/>
      <c r="U470" s="251"/>
      <c r="V470" s="251"/>
      <c r="W470" s="323"/>
      <c r="X470" s="323"/>
      <c r="Y470" s="323"/>
      <c r="Z470" s="323"/>
      <c r="AA470" s="323"/>
      <c r="AB470" s="323"/>
      <c r="AC470" s="323"/>
      <c r="AD470" s="323"/>
      <c r="AE470" s="323"/>
      <c r="AF470" s="323"/>
      <c r="AG470" s="323"/>
      <c r="AH470" s="323"/>
      <c r="AI470" s="323"/>
      <c r="AJ470" s="323"/>
      <c r="AK470" s="323"/>
      <c r="AL470" s="323"/>
      <c r="AM470" s="323"/>
      <c r="AN470" s="323"/>
      <c r="AO470" s="323"/>
      <c r="AP470" s="323"/>
      <c r="AQ470" s="323"/>
      <c r="AR470" s="323"/>
      <c r="AS470" s="323"/>
      <c r="AT470" s="323"/>
      <c r="AU470" s="323"/>
      <c r="AV470" s="323"/>
      <c r="AW470" s="323"/>
      <c r="AX470" s="323"/>
      <c r="AY470" s="323"/>
      <c r="AZ470" s="323"/>
      <c r="BA470" s="323"/>
      <c r="BB470" s="323"/>
      <c r="BC470" s="323"/>
      <c r="BD470" s="323"/>
      <c r="BE470" s="323"/>
      <c r="BF470" s="323"/>
      <c r="BG470" s="323"/>
      <c r="BH470" s="323"/>
      <c r="BI470" s="323"/>
      <c r="BJ470" s="323"/>
      <c r="BK470" s="323"/>
      <c r="BL470" s="323"/>
      <c r="BM470" s="323"/>
      <c r="BN470" s="323"/>
      <c r="BO470" s="323"/>
      <c r="BP470" s="323"/>
      <c r="BQ470" s="323"/>
      <c r="BR470" s="323"/>
      <c r="BS470" s="323"/>
      <c r="BT470" s="323"/>
      <c r="BU470" s="323"/>
      <c r="BV470" s="323"/>
      <c r="BW470" s="323"/>
      <c r="BX470" s="323"/>
      <c r="BY470" s="323"/>
      <c r="BZ470" s="323"/>
      <c r="CA470" s="323"/>
      <c r="CB470" s="323"/>
      <c r="CC470" s="323"/>
      <c r="CD470" s="323"/>
      <c r="CE470" s="323"/>
      <c r="CF470" s="323"/>
      <c r="CG470" s="323"/>
      <c r="CH470" s="323"/>
      <c r="CI470" s="323"/>
      <c r="CJ470" s="323"/>
      <c r="CK470" s="323"/>
      <c r="CL470" s="323"/>
      <c r="CM470" s="323"/>
      <c r="CN470" s="323"/>
      <c r="CO470" s="323"/>
      <c r="CP470" s="431"/>
      <c r="CQ470" s="433"/>
      <c r="CR470" s="323"/>
      <c r="CS470" s="323"/>
      <c r="CT470" s="323"/>
      <c r="CU470" s="323"/>
      <c r="CV470" s="323"/>
      <c r="CW470" s="323"/>
      <c r="CX470" s="323"/>
      <c r="CY470" s="323"/>
      <c r="CZ470" s="323"/>
    </row>
    <row r="471" spans="1:104" ht="12" customHeight="1" thickBot="1" x14ac:dyDescent="0.4">
      <c r="B471" s="558"/>
      <c r="C471" s="558"/>
      <c r="D471" s="542"/>
      <c r="E471" s="558"/>
      <c r="F471" s="558"/>
      <c r="G471" s="558"/>
      <c r="H471" s="558"/>
      <c r="I471" s="542"/>
      <c r="J471" s="558"/>
      <c r="K471" s="558"/>
      <c r="L471" s="558"/>
      <c r="M471" s="558"/>
      <c r="N471" s="217"/>
      <c r="O471" s="217"/>
      <c r="P471" s="217"/>
      <c r="Q471" s="217"/>
      <c r="R471" s="217"/>
      <c r="U471" s="251"/>
      <c r="V471" s="251"/>
      <c r="W471" s="323"/>
      <c r="X471" s="323"/>
      <c r="Y471" s="323"/>
      <c r="Z471" s="323"/>
      <c r="AA471" s="323"/>
      <c r="AB471" s="323"/>
      <c r="AC471" s="323"/>
      <c r="AD471" s="323"/>
      <c r="AE471" s="323"/>
      <c r="AF471" s="323"/>
      <c r="AG471" s="323"/>
      <c r="AH471" s="323"/>
      <c r="AI471" s="323"/>
      <c r="AJ471" s="323"/>
      <c r="AK471" s="323"/>
      <c r="AL471" s="323"/>
      <c r="AM471" s="323"/>
      <c r="AN471" s="323"/>
      <c r="AO471" s="323"/>
      <c r="AP471" s="323"/>
      <c r="AQ471" s="323"/>
      <c r="AR471" s="323"/>
      <c r="AS471" s="323"/>
      <c r="AT471" s="323"/>
      <c r="AU471" s="323"/>
      <c r="AV471" s="323"/>
      <c r="AW471" s="323"/>
      <c r="AX471" s="323"/>
      <c r="AY471" s="323"/>
      <c r="AZ471" s="323"/>
      <c r="BA471" s="323"/>
      <c r="BB471" s="323"/>
      <c r="BC471" s="323"/>
      <c r="BD471" s="323"/>
      <c r="BE471" s="323"/>
      <c r="BF471" s="323"/>
      <c r="BG471" s="323"/>
      <c r="BH471" s="323"/>
      <c r="BI471" s="323"/>
      <c r="BJ471" s="323"/>
      <c r="BK471" s="323"/>
      <c r="BL471" s="323"/>
      <c r="BM471" s="323"/>
      <c r="BN471" s="323"/>
      <c r="BO471" s="323"/>
      <c r="BP471" s="323"/>
      <c r="BQ471" s="323"/>
      <c r="BR471" s="323"/>
      <c r="BS471" s="323"/>
      <c r="BT471" s="323"/>
      <c r="BU471" s="323"/>
      <c r="BV471" s="323"/>
      <c r="BW471" s="323"/>
      <c r="BX471" s="323"/>
      <c r="BY471" s="323"/>
      <c r="BZ471" s="323"/>
      <c r="CA471" s="323"/>
      <c r="CB471" s="323"/>
      <c r="CC471" s="323"/>
      <c r="CD471" s="323"/>
      <c r="CE471" s="323"/>
      <c r="CF471" s="323"/>
      <c r="CG471" s="323"/>
      <c r="CH471" s="323"/>
      <c r="CI471" s="323"/>
      <c r="CJ471" s="323"/>
      <c r="CK471" s="323"/>
      <c r="CL471" s="323"/>
      <c r="CM471" s="323"/>
      <c r="CN471" s="323"/>
      <c r="CO471" s="323"/>
      <c r="CP471" s="431"/>
      <c r="CQ471" s="434"/>
      <c r="CR471" s="323"/>
      <c r="CS471" s="323"/>
      <c r="CT471" s="323"/>
      <c r="CU471" s="323"/>
      <c r="CV471" s="323"/>
      <c r="CW471" s="323"/>
      <c r="CX471" s="323"/>
      <c r="CY471" s="323"/>
      <c r="CZ471" s="323"/>
    </row>
    <row r="472" spans="1:104" ht="32.5" customHeight="1" x14ac:dyDescent="0.7">
      <c r="B472" s="493" t="s">
        <v>766</v>
      </c>
      <c r="C472" s="499"/>
      <c r="D472" s="499"/>
      <c r="E472" s="506" t="s">
        <v>39</v>
      </c>
      <c r="F472" s="499"/>
      <c r="G472" s="499"/>
      <c r="H472" s="499"/>
      <c r="I472" s="500" t="str">
        <f>"Kælder Skillevægstype"&amp;" "&amp;1</f>
        <v>Kælder Skillevægstype 1</v>
      </c>
      <c r="J472" s="500"/>
      <c r="K472" s="499"/>
      <c r="L472" s="499"/>
      <c r="M472" s="499"/>
      <c r="N472" s="499"/>
      <c r="O472" s="499"/>
      <c r="P472" s="499"/>
      <c r="Q472" s="501"/>
      <c r="R472" s="409"/>
      <c r="S472" s="191"/>
      <c r="U472" s="251"/>
      <c r="V472" s="251"/>
      <c r="W472" s="323"/>
      <c r="X472" s="323"/>
      <c r="Y472" s="323"/>
      <c r="Z472" s="323"/>
      <c r="AA472" s="323"/>
      <c r="AB472" s="323"/>
      <c r="AC472" s="323"/>
      <c r="AD472" s="323"/>
      <c r="AE472" s="323"/>
      <c r="AF472" s="323"/>
      <c r="AG472" s="323"/>
      <c r="AH472" s="323"/>
      <c r="AI472" s="323"/>
      <c r="AJ472" s="323" t="s">
        <v>746</v>
      </c>
      <c r="AK472" s="323" t="s">
        <v>747</v>
      </c>
      <c r="AL472" s="323"/>
      <c r="AM472" s="323"/>
      <c r="AN472" s="323" t="s">
        <v>846</v>
      </c>
      <c r="AO472" s="323"/>
      <c r="AP472" s="323"/>
      <c r="AQ472" s="323"/>
      <c r="AR472" s="323" t="s">
        <v>851</v>
      </c>
      <c r="AS472" s="323"/>
      <c r="AT472" s="323"/>
      <c r="AU472" s="323"/>
      <c r="AV472" s="323"/>
      <c r="AW472" s="323"/>
      <c r="AX472" s="323"/>
      <c r="AY472" s="323"/>
      <c r="AZ472" s="323"/>
      <c r="BA472" s="323"/>
      <c r="BB472" s="323"/>
      <c r="BC472" s="323"/>
      <c r="BD472" s="323"/>
      <c r="BE472" s="323"/>
      <c r="BF472" s="323"/>
      <c r="BG472" s="323"/>
      <c r="BH472" s="323"/>
      <c r="BI472" s="323"/>
      <c r="BJ472" s="323"/>
      <c r="BK472" s="323"/>
      <c r="BL472" s="323"/>
      <c r="BM472" s="323"/>
      <c r="BN472" s="323"/>
      <c r="BO472" s="323"/>
      <c r="BP472" s="323"/>
      <c r="BQ472" s="323"/>
      <c r="BR472" s="323"/>
      <c r="BS472" s="323"/>
      <c r="BT472" s="323"/>
      <c r="BU472" s="323"/>
      <c r="BV472" s="323"/>
      <c r="BW472" s="323"/>
      <c r="BX472" s="323"/>
      <c r="BY472" s="323"/>
      <c r="BZ472" s="323"/>
      <c r="CA472" s="323"/>
      <c r="CB472" s="323"/>
      <c r="CC472" s="323"/>
      <c r="CD472" s="323"/>
      <c r="CE472" s="323"/>
      <c r="CF472" s="323"/>
      <c r="CG472" s="323"/>
      <c r="CH472" s="323"/>
      <c r="CI472" s="323"/>
      <c r="CJ472" s="323"/>
      <c r="CK472" s="323"/>
      <c r="CL472" s="323"/>
      <c r="CM472" s="323"/>
      <c r="CN472" s="323"/>
      <c r="CO472" s="323"/>
      <c r="CP472" s="431"/>
      <c r="CQ472" s="433"/>
      <c r="CR472" s="323"/>
      <c r="CS472" s="323"/>
      <c r="CT472" s="323"/>
      <c r="CU472" s="323"/>
      <c r="CV472" s="323"/>
      <c r="CW472" s="323"/>
      <c r="CX472" s="323"/>
      <c r="CY472" s="323"/>
      <c r="CZ472" s="323"/>
    </row>
    <row r="473" spans="1:104" ht="29" customHeight="1" x14ac:dyDescent="0.35">
      <c r="B473" s="359" t="s">
        <v>78</v>
      </c>
      <c r="C473" s="360"/>
      <c r="D473" s="910" t="s">
        <v>4</v>
      </c>
      <c r="E473" s="911"/>
      <c r="F473" s="911"/>
      <c r="G473" s="911"/>
      <c r="H473" s="912"/>
      <c r="I473" s="885" t="s">
        <v>5</v>
      </c>
      <c r="J473" s="886"/>
      <c r="K473" s="886"/>
      <c r="L473" s="886"/>
      <c r="M473" s="887"/>
      <c r="N473" s="877" t="s">
        <v>79</v>
      </c>
      <c r="O473" s="877"/>
      <c r="P473" s="877"/>
      <c r="Q473" s="877"/>
      <c r="R473" s="192"/>
      <c r="S473" s="193"/>
      <c r="T473" s="175"/>
      <c r="U473" s="251"/>
      <c r="V473" s="251"/>
      <c r="W473" s="323"/>
      <c r="X473" s="323"/>
      <c r="Y473" s="323"/>
      <c r="Z473" s="323"/>
      <c r="AA473" s="323"/>
      <c r="AB473" s="323"/>
      <c r="AC473" s="323"/>
      <c r="AD473" s="323"/>
      <c r="AE473" s="323"/>
      <c r="AF473" s="323"/>
      <c r="AG473" s="323"/>
      <c r="AH473" s="323"/>
      <c r="AI473" s="323" t="str">
        <f>'LCA data'!$B$65</f>
        <v>Indvendig beklædning</v>
      </c>
      <c r="AJ473" s="323">
        <f>(VLOOKUP(E476,Pris.indvendig.beklædning[],2,0))*C476</f>
        <v>0</v>
      </c>
      <c r="AK473" s="323">
        <f>(VLOOKUP(J476,Pris.indvendig.beklædning[],2,0))*C476</f>
        <v>0</v>
      </c>
      <c r="AL473" s="323"/>
      <c r="AM473" s="323"/>
      <c r="AN473" s="323" t="s">
        <v>4</v>
      </c>
      <c r="AO473" s="323" t="s">
        <v>5</v>
      </c>
      <c r="AP473" s="323"/>
      <c r="AQ473" s="323"/>
      <c r="AR473" s="323" t="s">
        <v>4</v>
      </c>
      <c r="AS473" s="323" t="s">
        <v>5</v>
      </c>
      <c r="AT473" s="323"/>
      <c r="AU473" s="323"/>
      <c r="AV473" s="323"/>
      <c r="AW473" s="323"/>
      <c r="AX473" s="323"/>
      <c r="AY473" s="323"/>
      <c r="AZ473" s="323"/>
      <c r="BA473" s="323"/>
      <c r="BB473" s="323"/>
      <c r="BC473" s="323"/>
      <c r="BD473" s="323"/>
      <c r="BE473" s="323"/>
      <c r="BF473" s="323"/>
      <c r="BG473" s="323"/>
      <c r="BH473" s="323"/>
      <c r="BI473" s="323"/>
      <c r="BJ473" s="323"/>
      <c r="BK473" s="323"/>
      <c r="BL473" s="323"/>
      <c r="BM473" s="323"/>
      <c r="BN473" s="323"/>
      <c r="BO473" s="323"/>
      <c r="BP473" s="323"/>
      <c r="BQ473" s="323"/>
      <c r="BR473" s="323"/>
      <c r="BS473" s="323"/>
      <c r="BT473" s="323"/>
      <c r="BU473" s="323"/>
      <c r="BV473" s="323"/>
      <c r="BW473" s="323"/>
      <c r="BX473" s="323"/>
      <c r="BY473" s="323"/>
      <c r="BZ473" s="323"/>
      <c r="CA473" s="323"/>
      <c r="CB473" s="323"/>
      <c r="CC473" s="323"/>
      <c r="CD473" s="323"/>
      <c r="CE473" s="323"/>
      <c r="CF473" s="323"/>
      <c r="CG473" s="323"/>
      <c r="CH473" s="323"/>
      <c r="CI473" s="323"/>
      <c r="CJ473" s="323"/>
      <c r="CK473" s="323"/>
      <c r="CL473" s="323"/>
      <c r="CM473" s="323"/>
      <c r="CN473" s="323"/>
      <c r="CO473" s="323"/>
      <c r="CP473" s="431"/>
      <c r="CQ473" s="433"/>
      <c r="CR473" s="323"/>
      <c r="CS473" s="323"/>
      <c r="CT473" s="323"/>
      <c r="CU473" s="323"/>
      <c r="CV473" s="323"/>
      <c r="CW473" s="323"/>
      <c r="CX473" s="323"/>
      <c r="CY473" s="323"/>
      <c r="CZ473" s="323"/>
    </row>
    <row r="474" spans="1:104" ht="30.5" customHeight="1" x14ac:dyDescent="0.35">
      <c r="B474" s="194"/>
      <c r="C474" s="195" t="s">
        <v>80</v>
      </c>
      <c r="D474" s="908" t="s">
        <v>81</v>
      </c>
      <c r="E474" s="909"/>
      <c r="F474" s="338" t="s">
        <v>82</v>
      </c>
      <c r="G474" s="338"/>
      <c r="H474" s="346" t="s">
        <v>84</v>
      </c>
      <c r="I474" s="913" t="s">
        <v>81</v>
      </c>
      <c r="J474" s="914"/>
      <c r="K474" s="479" t="s">
        <v>82</v>
      </c>
      <c r="L474" s="479"/>
      <c r="M474" s="508" t="s">
        <v>84</v>
      </c>
      <c r="N474" s="195" t="s">
        <v>4</v>
      </c>
      <c r="O474" s="195" t="s">
        <v>85</v>
      </c>
      <c r="P474" s="195" t="s">
        <v>5</v>
      </c>
      <c r="Q474" s="195" t="s">
        <v>86</v>
      </c>
      <c r="R474" s="192"/>
      <c r="S474" s="196"/>
      <c r="U474" s="251"/>
      <c r="V474" s="251"/>
      <c r="W474" s="323" t="s">
        <v>87</v>
      </c>
      <c r="X474" s="323" t="s">
        <v>88</v>
      </c>
      <c r="Y474" s="323"/>
      <c r="Z474" s="323"/>
      <c r="AA474" s="323" t="s">
        <v>91</v>
      </c>
      <c r="AB474" s="323"/>
      <c r="AC474" s="323"/>
      <c r="AD474" s="323"/>
      <c r="AE474" s="323" t="s">
        <v>92</v>
      </c>
      <c r="AF474" s="323"/>
      <c r="AG474" s="323"/>
      <c r="AH474" s="323"/>
      <c r="AI474" s="323" t="str">
        <f>'LCA data'!$B$32</f>
        <v>Isolering</v>
      </c>
      <c r="AJ474" s="323">
        <f>VLOOKUP(E477,Pris.isolering[],2,0)*F477*C477</f>
        <v>0</v>
      </c>
      <c r="AK474" s="323">
        <f>VLOOKUP(J477,Pris.isolering[],2,0)*K477*C477</f>
        <v>0</v>
      </c>
      <c r="AL474" s="323"/>
      <c r="AM474" s="323"/>
      <c r="AN474" s="323">
        <f>SUM(AN476:AN480)</f>
        <v>0</v>
      </c>
      <c r="AO474" s="323">
        <f>SUM(AO476:AO480)</f>
        <v>0</v>
      </c>
      <c r="AP474" s="323"/>
      <c r="AQ474" s="323"/>
      <c r="AR474" s="323">
        <f>SUM(AR476:AR479)</f>
        <v>0</v>
      </c>
      <c r="AS474" s="323">
        <f>SUM(AS476:AS479)</f>
        <v>0</v>
      </c>
      <c r="AT474" s="323"/>
      <c r="AU474" s="323"/>
      <c r="AV474" s="323"/>
      <c r="AW474" s="323"/>
      <c r="AX474" s="323"/>
      <c r="AY474" s="323"/>
      <c r="AZ474" s="323"/>
      <c r="BA474" s="323"/>
      <c r="BB474" s="323"/>
      <c r="BC474" s="323"/>
      <c r="BD474" s="323"/>
      <c r="BE474" s="323"/>
      <c r="BF474" s="323"/>
      <c r="BG474" s="323"/>
      <c r="BH474" s="323"/>
      <c r="BI474" s="323"/>
      <c r="BJ474" s="323"/>
      <c r="BK474" s="323"/>
      <c r="BL474" s="323"/>
      <c r="BM474" s="323"/>
      <c r="BN474" s="323"/>
      <c r="BO474" s="323"/>
      <c r="BP474" s="323"/>
      <c r="BQ474" s="323"/>
      <c r="BR474" s="323"/>
      <c r="BS474" s="323"/>
      <c r="BT474" s="323"/>
      <c r="BU474" s="323"/>
      <c r="BV474" s="323"/>
      <c r="BW474" s="323"/>
      <c r="BX474" s="323"/>
      <c r="BY474" s="323"/>
      <c r="BZ474" s="323"/>
      <c r="CA474" s="323"/>
      <c r="CB474" s="323"/>
      <c r="CC474" s="323"/>
      <c r="CD474" s="323"/>
      <c r="CE474" s="323"/>
      <c r="CF474" s="323"/>
      <c r="CG474" s="323"/>
      <c r="CH474" s="323"/>
      <c r="CI474" s="323"/>
      <c r="CJ474" s="323"/>
      <c r="CK474" s="323"/>
      <c r="CL474" s="323"/>
      <c r="CM474" s="323"/>
      <c r="CN474" s="323"/>
      <c r="CO474" s="323"/>
      <c r="CP474" s="435"/>
      <c r="CQ474" s="433"/>
      <c r="CR474" s="323"/>
      <c r="CS474" s="323"/>
      <c r="CT474" s="323"/>
      <c r="CU474" s="323"/>
      <c r="CV474" s="323"/>
      <c r="CW474" s="323"/>
      <c r="CX474" s="323"/>
      <c r="CY474" s="323"/>
      <c r="CZ474" s="323"/>
    </row>
    <row r="475" spans="1:104" ht="26" customHeight="1" x14ac:dyDescent="0.35">
      <c r="A475" s="198"/>
      <c r="B475" s="199"/>
      <c r="C475" s="200" t="s">
        <v>93</v>
      </c>
      <c r="D475" s="361" t="s">
        <v>789</v>
      </c>
      <c r="E475" s="300" t="s">
        <v>771</v>
      </c>
      <c r="F475" s="347" t="s">
        <v>94</v>
      </c>
      <c r="G475" s="348"/>
      <c r="H475" s="349" t="s">
        <v>96</v>
      </c>
      <c r="I475" s="480" t="s">
        <v>789</v>
      </c>
      <c r="J475" s="300" t="s">
        <v>771</v>
      </c>
      <c r="K475" s="510" t="s">
        <v>94</v>
      </c>
      <c r="L475" s="511"/>
      <c r="M475" s="512" t="s">
        <v>96</v>
      </c>
      <c r="N475" s="201" t="s">
        <v>97</v>
      </c>
      <c r="O475" s="201" t="s">
        <v>97</v>
      </c>
      <c r="P475" s="201" t="s">
        <v>97</v>
      </c>
      <c r="Q475" s="201" t="s">
        <v>97</v>
      </c>
      <c r="R475" s="202"/>
      <c r="S475" s="203"/>
      <c r="T475" s="204"/>
      <c r="U475" s="251"/>
      <c r="V475" s="251"/>
      <c r="W475" s="323">
        <f>SUM(W476:W480)</f>
        <v>0</v>
      </c>
      <c r="X475" s="323">
        <f>SUM(X476:X480)</f>
        <v>0</v>
      </c>
      <c r="Y475" s="323"/>
      <c r="Z475" s="323"/>
      <c r="AA475" s="323"/>
      <c r="AB475" s="323" t="s">
        <v>111</v>
      </c>
      <c r="AC475" s="323"/>
      <c r="AD475" s="323" t="s">
        <v>99</v>
      </c>
      <c r="AE475" s="323" t="s">
        <v>100</v>
      </c>
      <c r="AF475" s="323"/>
      <c r="AG475" s="323"/>
      <c r="AH475" s="323"/>
      <c r="AI475" s="323" t="str">
        <f>'LCA data'!$B$201</f>
        <v>Skillevægskonstruktion</v>
      </c>
      <c r="AJ475" s="323" t="e">
        <f>VLOOKUP(E478,Pris.væg.konstruktion[],2,0)*C478</f>
        <v>#N/A</v>
      </c>
      <c r="AK475" s="323" t="e">
        <f>VLOOKUP(J478,Pris.væg.konstruktion[],2,0)*C478</f>
        <v>#N/A</v>
      </c>
      <c r="AL475" s="323"/>
      <c r="AM475" s="323"/>
      <c r="AN475" s="323"/>
      <c r="AO475" s="323"/>
      <c r="AP475" s="323"/>
      <c r="AQ475" s="323"/>
      <c r="AR475" s="323"/>
      <c r="AS475" s="323"/>
      <c r="AT475" s="323"/>
      <c r="AU475" s="323"/>
      <c r="AV475" s="323"/>
      <c r="AW475" s="323"/>
      <c r="AX475" s="323"/>
      <c r="AY475" s="323"/>
      <c r="AZ475" s="323"/>
      <c r="BA475" s="323"/>
      <c r="BB475" s="323"/>
      <c r="BC475" s="323"/>
      <c r="BD475" s="323"/>
      <c r="BE475" s="323"/>
      <c r="BF475" s="323"/>
      <c r="BG475" s="323"/>
      <c r="BH475" s="323"/>
      <c r="BI475" s="323"/>
      <c r="BJ475" s="323"/>
      <c r="BK475" s="323"/>
      <c r="BL475" s="323"/>
      <c r="BM475" s="323"/>
      <c r="BN475" s="323"/>
      <c r="BO475" s="323"/>
      <c r="BP475" s="323"/>
      <c r="BQ475" s="323"/>
      <c r="BR475" s="323"/>
      <c r="BS475" s="323"/>
      <c r="BT475" s="323"/>
      <c r="BU475" s="323"/>
      <c r="BV475" s="323"/>
      <c r="BW475" s="323"/>
      <c r="BX475" s="323"/>
      <c r="BY475" s="323"/>
      <c r="BZ475" s="323"/>
      <c r="CA475" s="323"/>
      <c r="CB475" s="323"/>
      <c r="CC475" s="323"/>
      <c r="CD475" s="323"/>
      <c r="CE475" s="323"/>
      <c r="CF475" s="323"/>
      <c r="CG475" s="323"/>
      <c r="CH475" s="323"/>
      <c r="CI475" s="323"/>
      <c r="CJ475" s="323"/>
      <c r="CK475" s="323"/>
      <c r="CL475" s="323"/>
      <c r="CM475" s="323"/>
      <c r="CN475" s="323"/>
      <c r="CO475" s="323"/>
      <c r="CP475" s="436"/>
      <c r="CQ475" s="433"/>
      <c r="CR475" s="323"/>
      <c r="CS475" s="323"/>
      <c r="CT475" s="323"/>
      <c r="CU475" s="323"/>
      <c r="CV475" s="323"/>
      <c r="CW475" s="323"/>
      <c r="CX475" s="323"/>
      <c r="CY475" s="323"/>
      <c r="CZ475" s="323"/>
    </row>
    <row r="476" spans="1:104" ht="43.5" customHeight="1" thickBot="1" x14ac:dyDescent="0.4">
      <c r="B476" s="363" t="str">
        <f>'LCA data'!$B$65</f>
        <v>Indvendig beklædning</v>
      </c>
      <c r="C476" s="465">
        <f>$C$49</f>
        <v>0</v>
      </c>
      <c r="D476" s="15" t="s">
        <v>103</v>
      </c>
      <c r="E476" s="342" t="str">
        <f>IF($E$475="Ja",D476,VLOOKUP(B476,Auto_Kælder_Indervæg[],2,0))</f>
        <v>Angiv ikke</v>
      </c>
      <c r="F476" s="460">
        <f>(VLOOKUP(E476,Pris.indvendig.beklædning[],4,0))/1000</f>
        <v>0</v>
      </c>
      <c r="G476" s="350"/>
      <c r="H476" s="351" t="str">
        <f>IFERROR(IF(VLOOKUP(B476&amp;"_"&amp;E476,'LCA data'!$B$7:$X$200,2,FALSE)&lt;$Y$24,1,0)+IF(VLOOKUP(B476&amp;"_"&amp;E476,'LCA data'!$B$7:$X$200,2,FALSE)*2&lt;$Y$24,1,0),"")</f>
        <v/>
      </c>
      <c r="I476" s="16" t="s">
        <v>103</v>
      </c>
      <c r="J476" s="343" t="str">
        <f>IF($J$475="Ja",I476,VLOOKUP(B476,Auto_Kælder_Indervæg[],3,0))</f>
        <v>Angiv ikke</v>
      </c>
      <c r="K476" s="524">
        <f>(VLOOKUP(J476,Pris.indvendig.beklædning[],4,0))/1000</f>
        <v>0</v>
      </c>
      <c r="L476" s="514"/>
      <c r="M476" s="515" t="str">
        <f>IFERROR(IF(VLOOKUP(B476&amp;"_"&amp;J476,'LCA data'!$B$7:$X$200,2,FALSE)&lt;$Y$24,1,0)+IF(VLOOKUP(B476&amp;"_"&amp;J476,'LCA data'!$B$7:$X$200,2,FALSE)*2&lt;$Y$24,1,0),"")</f>
        <v/>
      </c>
      <c r="N476" s="364">
        <f>W476/1000</f>
        <v>0</v>
      </c>
      <c r="O476" s="880">
        <f>SUM(N476:N480)</f>
        <v>0</v>
      </c>
      <c r="P476" s="365">
        <f>X476/1000</f>
        <v>0</v>
      </c>
      <c r="Q476" s="880">
        <f>SUM(P476:P480)</f>
        <v>0</v>
      </c>
      <c r="R476" s="192"/>
      <c r="S476" s="196"/>
      <c r="U476" s="251"/>
      <c r="V476" s="251"/>
      <c r="W476" s="323">
        <f>IF(E476="Angiv ikke",0,((1+H476)*VLOOKUP(B476&amp;"_"&amp;E476,'LCA data'!$B$7:$X$360,19,FALSE)*(F476*10^3)*C476))</f>
        <v>0</v>
      </c>
      <c r="X476" s="323">
        <f>IF(J476="Angiv ikke",0,((1+M476)*VLOOKUP(B476&amp;"_"&amp;J476,'LCA data'!$B$7:$X$360,19,FALSE)*(K476*10^3)*C476))</f>
        <v>0</v>
      </c>
      <c r="Y476" s="323"/>
      <c r="Z476" s="323"/>
      <c r="AA476" s="323" t="s">
        <v>4</v>
      </c>
      <c r="AB476" s="323">
        <f>AF476/$J$21/$Y$24*1000</f>
        <v>0</v>
      </c>
      <c r="AC476" s="323"/>
      <c r="AD476" s="323">
        <f>AB476+AC476</f>
        <v>0</v>
      </c>
      <c r="AE476" s="323" t="s">
        <v>4</v>
      </c>
      <c r="AF476" s="323">
        <f>W475/1000</f>
        <v>0</v>
      </c>
      <c r="AG476" s="323"/>
      <c r="AH476" s="323"/>
      <c r="AI476" s="323" t="str">
        <f>'LCA data'!$B$65</f>
        <v>Indvendig beklædning</v>
      </c>
      <c r="AJ476" s="323">
        <f>(VLOOKUP(E479,Pris.indvendig.beklædning[],2,0))*C479</f>
        <v>0</v>
      </c>
      <c r="AK476" s="323">
        <f>(VLOOKUP(J479,Pris.indvendig.beklædning[],2,0))*C479</f>
        <v>0</v>
      </c>
      <c r="AL476" s="323"/>
      <c r="AM476" s="323"/>
      <c r="AN476" s="323">
        <f>IF(E476="Angiv ikke",0,((1+H476)*VLOOKUP(B476&amp;"_"&amp;E476,'LCA data'!$B$7:$X$360,20,FALSE)*(F476*10^3)*C476))</f>
        <v>0</v>
      </c>
      <c r="AO476" s="323">
        <f>IF(J476="Angiv ikke",0,((1+M476)*VLOOKUP(B476&amp;"_"&amp;J476,'LCA data'!$B$7:$X$360,20,FALSE)*(K476*10^3)*C476))</f>
        <v>0</v>
      </c>
      <c r="AP476" s="323"/>
      <c r="AQ476" s="323"/>
      <c r="AR476" s="323">
        <f>IF(E476="Angiv ikke",0,((1+H476)*VLOOKUP(B476&amp;"_"&amp;E476,'LCA data'!$B$7:$AA$360,26,FALSE)*(F476*10^3)*C476))</f>
        <v>0</v>
      </c>
      <c r="AS476" s="323">
        <f>IF(J476="Angiv ikke",0,((1+M476)*VLOOKUP(B476&amp;"_"&amp;J476,'LCA data'!$B$7:$AA$360,26,FALSE)*(K476*10^3)*C476))</f>
        <v>0</v>
      </c>
      <c r="AT476" s="323"/>
      <c r="AU476" s="323"/>
      <c r="AV476" s="323"/>
      <c r="AW476" s="323"/>
      <c r="AX476" s="323"/>
      <c r="AY476" s="323"/>
      <c r="AZ476" s="323"/>
      <c r="BA476" s="323"/>
      <c r="BB476" s="323"/>
      <c r="BC476" s="323"/>
      <c r="BD476" s="323"/>
      <c r="BE476" s="323"/>
      <c r="BF476" s="323"/>
      <c r="BG476" s="323"/>
      <c r="BH476" s="323"/>
      <c r="BI476" s="323"/>
      <c r="BJ476" s="323"/>
      <c r="BK476" s="323"/>
      <c r="BL476" s="323"/>
      <c r="BM476" s="323"/>
      <c r="BN476" s="323"/>
      <c r="BO476" s="323"/>
      <c r="BP476" s="323"/>
      <c r="BQ476" s="323"/>
      <c r="BR476" s="323"/>
      <c r="BS476" s="323"/>
      <c r="BT476" s="323"/>
      <c r="BU476" s="323"/>
      <c r="BV476" s="323"/>
      <c r="BW476" s="323"/>
      <c r="BX476" s="323"/>
      <c r="BY476" s="323"/>
      <c r="BZ476" s="323"/>
      <c r="CA476" s="323"/>
      <c r="CB476" s="323"/>
      <c r="CC476" s="323"/>
      <c r="CD476" s="323"/>
      <c r="CE476" s="323"/>
      <c r="CF476" s="323"/>
      <c r="CG476" s="323"/>
      <c r="CH476" s="323"/>
      <c r="CI476" s="323"/>
      <c r="CJ476" s="323"/>
      <c r="CK476" s="323"/>
      <c r="CL476" s="323"/>
      <c r="CM476" s="323"/>
      <c r="CN476" s="323"/>
      <c r="CO476" s="323"/>
      <c r="CP476" s="437"/>
      <c r="CQ476" s="438"/>
      <c r="CR476" s="323"/>
      <c r="CS476" s="323"/>
      <c r="CT476" s="323"/>
      <c r="CU476" s="323"/>
      <c r="CV476" s="323"/>
      <c r="CW476" s="323"/>
      <c r="CX476" s="323"/>
      <c r="CY476" s="323"/>
      <c r="CZ476" s="323"/>
    </row>
    <row r="477" spans="1:104" ht="43.5" customHeight="1" x14ac:dyDescent="0.35">
      <c r="B477" s="208" t="str">
        <f>'LCA data'!$B$32</f>
        <v>Isolering</v>
      </c>
      <c r="C477" s="465">
        <f>$C$49</f>
        <v>0</v>
      </c>
      <c r="D477" s="168" t="s">
        <v>103</v>
      </c>
      <c r="E477" s="342" t="str">
        <f>IF($E$475="Ja",D477,VLOOKUP(B477,Auto_Kælder_Indervæg[],2,0))</f>
        <v>EPS</v>
      </c>
      <c r="F477" s="11">
        <v>0</v>
      </c>
      <c r="G477" s="426"/>
      <c r="H477" s="427">
        <f>IFERROR(IF(VLOOKUP(B477&amp;"_"&amp;E477,'LCA data'!$B$7:$X$200,2,FALSE)&lt;$Y$24,1,0)+IF(VLOOKUP(B477&amp;"_"&amp;E477,'LCA data'!$B$7:$X$200,2,FALSE)*2&lt;$Y$24,1,0),"")</f>
        <v>0</v>
      </c>
      <c r="I477" s="168" t="s">
        <v>103</v>
      </c>
      <c r="J477" s="342" t="str">
        <f>IF($J$475="Ja",I477,VLOOKUP(B477,Auto_Kælder_Indervæg[],3,0))</f>
        <v>EPS</v>
      </c>
      <c r="K477" s="11">
        <v>0</v>
      </c>
      <c r="L477" s="529"/>
      <c r="M477" s="515">
        <f>IFERROR(IF(VLOOKUP(B477&amp;"_"&amp;J477,'LCA data'!$B$7:$X$200,2,FALSE)&lt;$Y$24,1,0)+IF(VLOOKUP(B477&amp;"_"&amp;J477,'LCA data'!$B$7:$X$200,2,FALSE)*2&lt;$Y$24,1,0),"")</f>
        <v>0</v>
      </c>
      <c r="N477" s="206">
        <f>W477/1000</f>
        <v>0</v>
      </c>
      <c r="O477" s="878"/>
      <c r="P477" s="207">
        <f>X477/1000</f>
        <v>0</v>
      </c>
      <c r="Q477" s="878"/>
      <c r="R477" s="192"/>
      <c r="S477" s="196"/>
      <c r="U477" s="251"/>
      <c r="V477" s="251"/>
      <c r="W477" s="323">
        <f>IF(E477="Angiv ikke",0,((1+H477)*VLOOKUP(B477&amp;"_"&amp;E477,'LCA data'!$B$7:$X$360,19,FALSE)*(F477*10^3)*C477))</f>
        <v>0</v>
      </c>
      <c r="X477" s="323">
        <f>IF(J477="Angiv ikke",0,((1+M477)*VLOOKUP(B477&amp;"_"&amp;J477,'LCA data'!$B$7:$X$360,19,FALSE)*(K477*10^3)*C477))</f>
        <v>0</v>
      </c>
      <c r="Y477" s="323"/>
      <c r="Z477" s="323"/>
      <c r="AA477" s="323" t="s">
        <v>5</v>
      </c>
      <c r="AB477" s="323">
        <f>AG477/$J$21/$Y$24*1000</f>
        <v>0</v>
      </c>
      <c r="AC477" s="323"/>
      <c r="AD477" s="323">
        <f>AB477+AC477</f>
        <v>0</v>
      </c>
      <c r="AE477" s="323" t="s">
        <v>5</v>
      </c>
      <c r="AF477" s="323"/>
      <c r="AG477" s="323">
        <f>X475/1000</f>
        <v>0</v>
      </c>
      <c r="AH477" s="323"/>
      <c r="AI477" s="323" t="s">
        <v>743</v>
      </c>
      <c r="AJ477" s="323" t="e">
        <f>SUM(AJ473:AJ476)</f>
        <v>#N/A</v>
      </c>
      <c r="AK477" s="323" t="e">
        <f>SUM(AK473:AK476)</f>
        <v>#N/A</v>
      </c>
      <c r="AL477" s="323"/>
      <c r="AM477" s="323"/>
      <c r="AN477" s="323">
        <f>IF(E477="Angiv ikke",0,((1+H477)*VLOOKUP(B477&amp;"_"&amp;E477,'LCA data'!$B$7:$X$360,20,FALSE)*(F477*10^3)*C477))</f>
        <v>0</v>
      </c>
      <c r="AO477" s="323">
        <f>IF(J477="Angiv ikke",0,((1+M477)*VLOOKUP(B477&amp;"_"&amp;J477,'LCA data'!$B$7:$X$360,20,FALSE)*(K477*10^3)*C477))</f>
        <v>0</v>
      </c>
      <c r="AP477" s="323"/>
      <c r="AQ477" s="323"/>
      <c r="AR477" s="323">
        <f>IF(E477="Angiv ikke",0,((1+H477)*VLOOKUP(B477&amp;"_"&amp;E477,'LCA data'!$B$7:$AA$360,26,FALSE)*(F477*10^3)*C477))</f>
        <v>0</v>
      </c>
      <c r="AS477" s="323">
        <f>IF(J477="Angiv ikke",0,((1+M477)*VLOOKUP(B477&amp;"_"&amp;J477,'LCA data'!$B$7:$AA$360,26,FALSE)*(K477*10^3)*C477))</f>
        <v>0</v>
      </c>
      <c r="AT477" s="323"/>
      <c r="AU477" s="323"/>
      <c r="AV477" s="323"/>
      <c r="AW477" s="323"/>
      <c r="AX477" s="323"/>
      <c r="AY477" s="323"/>
      <c r="AZ477" s="323"/>
      <c r="BA477" s="323"/>
      <c r="BB477" s="323"/>
      <c r="BC477" s="323"/>
      <c r="BD477" s="323"/>
      <c r="BE477" s="323"/>
      <c r="BF477" s="323"/>
      <c r="BG477" s="323"/>
      <c r="BH477" s="323"/>
      <c r="BI477" s="323"/>
      <c r="BJ477" s="323"/>
      <c r="BK477" s="323"/>
      <c r="BL477" s="323"/>
      <c r="BM477" s="323"/>
      <c r="BN477" s="323"/>
      <c r="BO477" s="323"/>
      <c r="BP477" s="323"/>
      <c r="BQ477" s="323"/>
      <c r="BR477" s="323"/>
      <c r="BS477" s="323"/>
      <c r="BT477" s="323"/>
      <c r="BU477" s="323"/>
      <c r="BV477" s="323"/>
      <c r="BW477" s="323"/>
      <c r="BX477" s="323"/>
      <c r="BY477" s="323"/>
      <c r="BZ477" s="323"/>
      <c r="CA477" s="323"/>
      <c r="CB477" s="323"/>
      <c r="CC477" s="323"/>
      <c r="CD477" s="323"/>
      <c r="CE477" s="323"/>
      <c r="CF477" s="323"/>
      <c r="CG477" s="323"/>
      <c r="CH477" s="323"/>
      <c r="CI477" s="323"/>
      <c r="CJ477" s="323"/>
      <c r="CK477" s="323"/>
      <c r="CL477" s="323"/>
      <c r="CM477" s="323"/>
      <c r="CN477" s="323"/>
      <c r="CO477" s="323"/>
      <c r="CP477" s="439"/>
      <c r="CQ477" s="428"/>
      <c r="CR477" s="323"/>
      <c r="CS477" s="323"/>
      <c r="CT477" s="323"/>
      <c r="CU477" s="323"/>
      <c r="CV477" s="323"/>
      <c r="CW477" s="323"/>
      <c r="CX477" s="323"/>
      <c r="CY477" s="323"/>
      <c r="CZ477" s="323"/>
    </row>
    <row r="478" spans="1:104" ht="43.5" customHeight="1" x14ac:dyDescent="0.35">
      <c r="B478" s="205" t="str">
        <f>'LCA data'!$B$201</f>
        <v>Skillevægskonstruktion</v>
      </c>
      <c r="C478" s="465">
        <f>$C$49</f>
        <v>0</v>
      </c>
      <c r="D478" s="169" t="s">
        <v>103</v>
      </c>
      <c r="E478" s="342" t="str">
        <f>IF($E$475="Ja",D478,VLOOKUP(B478,Auto_Kælder_Indervæg[],2,0))</f>
        <v>Betonelement C30/37</v>
      </c>
      <c r="F478" s="172">
        <v>0.15</v>
      </c>
      <c r="G478" s="350"/>
      <c r="H478" s="351">
        <f>IFERROR(IF(VLOOKUP(B478&amp;"_"&amp;E478,'LCA data'!$B$7:$X$360,2,FALSE)&lt;$Y$24,1,0)+IF(VLOOKUP(B478&amp;"_"&amp;E478,'LCA data'!$B$7:$X$360,2,FALSE)*2&lt;$Y$24,1,0),"")</f>
        <v>0</v>
      </c>
      <c r="I478" s="169" t="s">
        <v>103</v>
      </c>
      <c r="J478" s="342" t="str">
        <f>IF($J$475="Ja",I478,VLOOKUP(B478,Auto_Kælder_Indervæg[],3,0))</f>
        <v>Betonelement C30/37</v>
      </c>
      <c r="K478" s="172">
        <v>0.15</v>
      </c>
      <c r="L478" s="514"/>
      <c r="M478" s="515">
        <f>IFERROR(IF(VLOOKUP(B478&amp;"_"&amp;J478,'LCA data'!$B$7:$X$360,2,FALSE)&lt;$Y$24,1,0)+IF(VLOOKUP(B478&amp;"_"&amp;J478,'LCA data'!$B$7:$X$360,2,FALSE)*2&lt;$Y$24,1,0),"")</f>
        <v>0</v>
      </c>
      <c r="N478" s="206">
        <f>W478/1000</f>
        <v>0</v>
      </c>
      <c r="O478" s="878"/>
      <c r="P478" s="207">
        <f>X478/1000</f>
        <v>0</v>
      </c>
      <c r="Q478" s="878"/>
      <c r="R478" s="192"/>
      <c r="S478" s="196"/>
      <c r="U478" s="251"/>
      <c r="V478" s="251"/>
      <c r="W478" s="323">
        <f>IF(E478="Angiv ikke",0,((1+H478)*VLOOKUP(B478&amp;"_"&amp;E478,'LCA data'!$B$7:$X$360,19,FALSE)*(F478*10^3)*C478))</f>
        <v>0</v>
      </c>
      <c r="X478" s="323">
        <f>IF(J478="Angiv ikke",0,((1+M478)*VLOOKUP(B478&amp;"_"&amp;J478,'LCA data'!$B$7:$X$360,19,FALSE)*(K478*10^3)*C478))</f>
        <v>0</v>
      </c>
      <c r="Y478" s="323"/>
      <c r="Z478" s="323"/>
      <c r="AA478" s="323"/>
      <c r="AB478" s="323"/>
      <c r="AC478" s="323"/>
      <c r="AD478" s="323"/>
      <c r="AE478" s="323"/>
      <c r="AF478" s="323"/>
      <c r="AG478" s="323"/>
      <c r="AH478" s="323"/>
      <c r="AI478" s="323"/>
      <c r="AJ478" s="323"/>
      <c r="AK478" s="323"/>
      <c r="AL478" s="323"/>
      <c r="AM478" s="323"/>
      <c r="AN478" s="323">
        <f>IF(E478="Angiv ikke",0,((1+H478)*VLOOKUP(B478&amp;"_"&amp;E478,'LCA data'!$B$7:$X$360,20,FALSE)*(F478*10^3)*C478))</f>
        <v>0</v>
      </c>
      <c r="AO478" s="323">
        <f>IF(J478="Angiv ikke",0,((1+M478)*VLOOKUP(B478&amp;"_"&amp;J478,'LCA data'!$B$7:$X$360,20,FALSE)*(K478*10^3)*C478))</f>
        <v>0</v>
      </c>
      <c r="AP478" s="323"/>
      <c r="AQ478" s="323"/>
      <c r="AR478" s="323">
        <f>IF(E478="Angiv ikke",0,((1+H478)*VLOOKUP(B478&amp;"_"&amp;E478,'LCA data'!$B$7:$AA$360,26,FALSE)*(F478*10^3)*C478))</f>
        <v>0</v>
      </c>
      <c r="AS478" s="323">
        <f>IF(J478="Angiv ikke",0,((1+M478)*VLOOKUP(B478&amp;"_"&amp;J478,'LCA data'!$B$7:$AA$360,26,FALSE)*(K478*10^3)*C478))</f>
        <v>0</v>
      </c>
      <c r="AT478" s="323"/>
      <c r="AU478" s="323"/>
      <c r="AV478" s="323"/>
      <c r="AW478" s="323"/>
      <c r="AX478" s="323"/>
      <c r="AY478" s="323"/>
      <c r="AZ478" s="323"/>
      <c r="BA478" s="323"/>
      <c r="BB478" s="323"/>
      <c r="BC478" s="323"/>
      <c r="BD478" s="323"/>
      <c r="BE478" s="323"/>
      <c r="BF478" s="323"/>
      <c r="BG478" s="323"/>
      <c r="BH478" s="323"/>
      <c r="BI478" s="323"/>
      <c r="BJ478" s="323"/>
      <c r="BK478" s="323"/>
      <c r="BL478" s="323"/>
      <c r="BM478" s="323"/>
      <c r="BN478" s="323"/>
      <c r="BO478" s="323"/>
      <c r="BP478" s="323"/>
      <c r="BQ478" s="323"/>
      <c r="BR478" s="323"/>
      <c r="BS478" s="323"/>
      <c r="BT478" s="323"/>
      <c r="BU478" s="323"/>
      <c r="BV478" s="323"/>
      <c r="BW478" s="323"/>
      <c r="BX478" s="323"/>
      <c r="BY478" s="323"/>
      <c r="BZ478" s="323"/>
      <c r="CA478" s="323"/>
      <c r="CB478" s="323"/>
      <c r="CC478" s="323"/>
      <c r="CD478" s="323"/>
      <c r="CE478" s="323"/>
      <c r="CF478" s="323"/>
      <c r="CG478" s="323"/>
      <c r="CH478" s="323"/>
      <c r="CI478" s="323"/>
      <c r="CJ478" s="323"/>
      <c r="CK478" s="323"/>
      <c r="CL478" s="323"/>
      <c r="CM478" s="323"/>
      <c r="CN478" s="323"/>
      <c r="CO478" s="323"/>
      <c r="CP478" s="439"/>
      <c r="CQ478" s="440"/>
      <c r="CR478" s="323"/>
      <c r="CS478" s="323"/>
      <c r="CT478" s="323"/>
      <c r="CU478" s="323"/>
      <c r="CV478" s="323"/>
      <c r="CW478" s="323"/>
      <c r="CX478" s="323"/>
      <c r="CY478" s="323"/>
      <c r="CZ478" s="323"/>
    </row>
    <row r="479" spans="1:104" ht="43.5" customHeight="1" thickBot="1" x14ac:dyDescent="0.4">
      <c r="B479" s="209" t="str">
        <f>'LCA data'!$B$65</f>
        <v>Indvendig beklædning</v>
      </c>
      <c r="C479" s="468">
        <f>$C$49</f>
        <v>0</v>
      </c>
      <c r="D479" s="171" t="s">
        <v>103</v>
      </c>
      <c r="E479" s="344" t="str">
        <f>IF($E$475="Ja",D479,VLOOKUP(B479,Auto_Kælder_Indervæg[],2,0))</f>
        <v>Angiv ikke</v>
      </c>
      <c r="F479" s="459">
        <f>(VLOOKUP(E479,Pris.indvendig.beklædning[],4,0))/1000</f>
        <v>0</v>
      </c>
      <c r="G479" s="354"/>
      <c r="H479" s="355" t="str">
        <f>IFERROR(IF(VLOOKUP(B479&amp;"_"&amp;E479,'LCA data'!$B$7:$X$200,2,FALSE)&lt;$Y$24,1,0)+IF(VLOOKUP(B479&amp;"_"&amp;E479,'LCA data'!$B$7:$X$200,2,FALSE)*2&lt;$Y$24,1,0),"")</f>
        <v/>
      </c>
      <c r="I479" s="171" t="s">
        <v>103</v>
      </c>
      <c r="J479" s="344" t="str">
        <f>IF($J$475="Ja",I479,VLOOKUP(B479,Auto_Kælder_Indervæg[],3,0))</f>
        <v>Angiv ikke</v>
      </c>
      <c r="K479" s="518">
        <f>(VLOOKUP(J479,Pris.indvendig.beklædning[],4,0))/1000</f>
        <v>0</v>
      </c>
      <c r="L479" s="519"/>
      <c r="M479" s="520" t="str">
        <f>IFERROR(IF(VLOOKUP(B479&amp;"_"&amp;J479,'LCA data'!$B$7:$X$200,2,FALSE)&lt;$Y$24,1,0)+IF(VLOOKUP(B479&amp;"_"&amp;J479,'LCA data'!$B$7:$X$200,2,FALSE)*2&lt;$Y$24,1,0),"")</f>
        <v/>
      </c>
      <c r="N479" s="210">
        <f>W479/1000</f>
        <v>0</v>
      </c>
      <c r="O479" s="879"/>
      <c r="P479" s="211">
        <f>X479/1000</f>
        <v>0</v>
      </c>
      <c r="Q479" s="879"/>
      <c r="R479" s="212"/>
      <c r="S479" s="213"/>
      <c r="U479" s="251"/>
      <c r="V479" s="251"/>
      <c r="W479" s="323">
        <f>IF(E479="Angiv ikke",0,((1+H479)*VLOOKUP(B479&amp;"_"&amp;E479,'LCA data'!$B$7:$X$360,19,FALSE)*(F479*10^3)*C479))</f>
        <v>0</v>
      </c>
      <c r="X479" s="323">
        <f>IF(J479="Angiv ikke",0,((1+M479)*VLOOKUP(B479&amp;"_"&amp;J479,'LCA data'!$B$7:$X$360,19,FALSE)*(K479*10^3)*C479))</f>
        <v>0</v>
      </c>
      <c r="Y479" s="323"/>
      <c r="Z479" s="323"/>
      <c r="AA479" s="323"/>
      <c r="AB479" s="323"/>
      <c r="AC479" s="323"/>
      <c r="AD479" s="323"/>
      <c r="AE479" s="323"/>
      <c r="AF479" s="323"/>
      <c r="AG479" s="323"/>
      <c r="AH479" s="323"/>
      <c r="AI479" s="323"/>
      <c r="AJ479" s="323"/>
      <c r="AK479" s="323"/>
      <c r="AL479" s="323"/>
      <c r="AM479" s="323"/>
      <c r="AN479" s="323">
        <f>IF(E479="Angiv ikke",0,((1+H479)*VLOOKUP(B479&amp;"_"&amp;E479,'LCA data'!$B$7:$X$360,20,FALSE)*(F479*10^3)*C479))</f>
        <v>0</v>
      </c>
      <c r="AO479" s="323">
        <f>IF(J479="Angiv ikke",0,((1+M479)*VLOOKUP(B479&amp;"_"&amp;J479,'LCA data'!$B$7:$X$360,20,FALSE)*(K479*10^3)*C479))</f>
        <v>0</v>
      </c>
      <c r="AP479" s="323"/>
      <c r="AQ479" s="323"/>
      <c r="AR479" s="323">
        <f>IF(E479="Angiv ikke",0,((1+H479)*VLOOKUP(B479&amp;"_"&amp;E479,'LCA data'!$B$7:$AA$360,26,FALSE)*(F479*10^3)*C479))</f>
        <v>0</v>
      </c>
      <c r="AS479" s="323">
        <f>IF(J479="Angiv ikke",0,((1+M479)*VLOOKUP(B479&amp;"_"&amp;J479,'LCA data'!$B$7:$AA$360,26,FALSE)*(K479*10^3)*C479))</f>
        <v>0</v>
      </c>
      <c r="AT479" s="323"/>
      <c r="AU479" s="323"/>
      <c r="AV479" s="323"/>
      <c r="AW479" s="323"/>
      <c r="AX479" s="323"/>
      <c r="AY479" s="323"/>
      <c r="AZ479" s="323"/>
      <c r="BA479" s="323"/>
      <c r="BB479" s="323"/>
      <c r="BC479" s="323"/>
      <c r="BD479" s="323"/>
      <c r="BE479" s="323"/>
      <c r="BF479" s="323"/>
      <c r="BG479" s="323"/>
      <c r="BH479" s="323"/>
      <c r="BI479" s="323"/>
      <c r="BJ479" s="323"/>
      <c r="BK479" s="323"/>
      <c r="BL479" s="323"/>
      <c r="BM479" s="323"/>
      <c r="BN479" s="323"/>
      <c r="BO479" s="323"/>
      <c r="BP479" s="323"/>
      <c r="BQ479" s="323"/>
      <c r="BR479" s="323"/>
      <c r="BS479" s="323"/>
      <c r="BT479" s="323"/>
      <c r="BU479" s="323"/>
      <c r="BV479" s="323"/>
      <c r="BW479" s="323"/>
      <c r="BX479" s="323"/>
      <c r="BY479" s="323"/>
      <c r="BZ479" s="323"/>
      <c r="CA479" s="323"/>
      <c r="CB479" s="323"/>
      <c r="CC479" s="323"/>
      <c r="CD479" s="323"/>
      <c r="CE479" s="323"/>
      <c r="CF479" s="323"/>
      <c r="CG479" s="323"/>
      <c r="CH479" s="323"/>
      <c r="CI479" s="323"/>
      <c r="CJ479" s="323"/>
      <c r="CK479" s="323"/>
      <c r="CL479" s="323"/>
      <c r="CM479" s="323"/>
      <c r="CN479" s="323"/>
      <c r="CO479" s="323"/>
      <c r="CP479" s="428"/>
      <c r="CQ479" s="441"/>
      <c r="CR479" s="323"/>
      <c r="CS479" s="323"/>
      <c r="CT479" s="323"/>
      <c r="CU479" s="323"/>
      <c r="CV479" s="323"/>
      <c r="CW479" s="323"/>
      <c r="CX479" s="323"/>
      <c r="CY479" s="323"/>
      <c r="CZ479" s="323"/>
    </row>
    <row r="480" spans="1:104" ht="14.9" customHeight="1" x14ac:dyDescent="0.35">
      <c r="B480" s="173" t="s">
        <v>128</v>
      </c>
      <c r="C480" s="217"/>
      <c r="E480" s="217"/>
      <c r="F480" s="217"/>
      <c r="G480" s="217"/>
      <c r="H480" s="217"/>
      <c r="J480" s="217"/>
      <c r="K480" s="217"/>
      <c r="L480" s="217"/>
      <c r="M480" s="217"/>
      <c r="N480" s="217"/>
      <c r="O480" s="217"/>
      <c r="P480" s="217"/>
      <c r="Q480" s="217"/>
      <c r="R480" s="217"/>
      <c r="U480" s="251"/>
      <c r="V480" s="251"/>
      <c r="W480" s="323"/>
      <c r="X480" s="323"/>
      <c r="Y480" s="323"/>
      <c r="Z480" s="323"/>
      <c r="AA480" s="323"/>
      <c r="AB480" s="323"/>
      <c r="AC480" s="323"/>
      <c r="AD480" s="323"/>
      <c r="AE480" s="323"/>
      <c r="AF480" s="323"/>
      <c r="AG480" s="323"/>
      <c r="AH480" s="323"/>
      <c r="AI480" s="323"/>
      <c r="AJ480" s="323"/>
      <c r="AK480" s="323"/>
      <c r="AL480" s="323"/>
      <c r="AM480" s="323"/>
      <c r="AN480" s="323"/>
      <c r="AO480" s="323"/>
      <c r="AP480" s="323"/>
      <c r="AQ480" s="323"/>
      <c r="AR480" s="323"/>
      <c r="AS480" s="323"/>
      <c r="AT480" s="323"/>
      <c r="AU480" s="323"/>
      <c r="AV480" s="323"/>
      <c r="AW480" s="323"/>
      <c r="AX480" s="323"/>
      <c r="AY480" s="323"/>
      <c r="AZ480" s="323"/>
      <c r="BA480" s="323"/>
      <c r="BB480" s="323"/>
      <c r="BC480" s="323"/>
      <c r="BD480" s="323"/>
      <c r="BE480" s="323"/>
      <c r="BF480" s="323"/>
      <c r="BG480" s="323"/>
      <c r="BH480" s="323"/>
      <c r="BI480" s="323"/>
      <c r="BJ480" s="323"/>
      <c r="BK480" s="323"/>
      <c r="BL480" s="323"/>
      <c r="BM480" s="323"/>
      <c r="BN480" s="323"/>
      <c r="BO480" s="323"/>
      <c r="BP480" s="323"/>
      <c r="BQ480" s="323"/>
      <c r="BR480" s="323"/>
      <c r="BS480" s="323"/>
      <c r="BT480" s="323"/>
      <c r="BU480" s="323"/>
      <c r="BV480" s="323"/>
      <c r="BW480" s="323"/>
      <c r="BX480" s="323"/>
      <c r="BY480" s="323"/>
      <c r="BZ480" s="323"/>
      <c r="CA480" s="323"/>
      <c r="CB480" s="323"/>
      <c r="CC480" s="323"/>
      <c r="CD480" s="323"/>
      <c r="CE480" s="323"/>
      <c r="CF480" s="323"/>
      <c r="CG480" s="323"/>
      <c r="CH480" s="323"/>
      <c r="CI480" s="323"/>
      <c r="CJ480" s="323"/>
      <c r="CK480" s="323"/>
      <c r="CL480" s="323"/>
      <c r="CM480" s="323"/>
      <c r="CN480" s="323"/>
      <c r="CO480" s="323"/>
      <c r="CP480" s="439"/>
      <c r="CQ480" s="446"/>
      <c r="CR480" s="323"/>
      <c r="CS480" s="323"/>
      <c r="CT480" s="323"/>
      <c r="CU480" s="323"/>
      <c r="CV480" s="323"/>
      <c r="CW480" s="323"/>
      <c r="CX480" s="323"/>
      <c r="CY480" s="323"/>
      <c r="CZ480" s="323"/>
    </row>
    <row r="481" spans="1:222" ht="20.9" customHeight="1" thickBot="1" x14ac:dyDescent="0.4">
      <c r="B481" s="542"/>
      <c r="C481" s="542"/>
      <c r="D481" s="542"/>
      <c r="E481" s="542"/>
      <c r="F481" s="542"/>
      <c r="G481" s="542"/>
      <c r="H481" s="542"/>
      <c r="I481" s="542"/>
      <c r="J481" s="542"/>
      <c r="K481" s="542"/>
      <c r="L481" s="542"/>
      <c r="M481" s="542"/>
      <c r="R481" s="217"/>
      <c r="S481" s="217"/>
      <c r="U481" s="251"/>
      <c r="V481" s="251"/>
      <c r="W481" s="323"/>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c r="AS481" s="323"/>
      <c r="AT481" s="323"/>
      <c r="AU481" s="323"/>
      <c r="AV481" s="323"/>
      <c r="AW481" s="323"/>
      <c r="AX481" s="323"/>
      <c r="AY481" s="323"/>
      <c r="AZ481" s="323"/>
      <c r="BA481" s="323"/>
      <c r="BB481" s="323"/>
      <c r="BC481" s="323"/>
      <c r="BD481" s="323"/>
      <c r="BE481" s="323"/>
      <c r="BF481" s="323"/>
      <c r="BG481" s="323"/>
      <c r="BH481" s="323"/>
      <c r="BI481" s="323"/>
      <c r="BJ481" s="323"/>
      <c r="BK481" s="323"/>
      <c r="BL481" s="323"/>
      <c r="BM481" s="323"/>
      <c r="BN481" s="323"/>
      <c r="BO481" s="323"/>
      <c r="BP481" s="323"/>
      <c r="BQ481" s="323"/>
      <c r="BR481" s="323"/>
      <c r="BS481" s="323"/>
      <c r="BT481" s="323"/>
      <c r="BU481" s="323"/>
      <c r="BV481" s="323"/>
      <c r="BW481" s="323"/>
      <c r="BX481" s="323"/>
      <c r="BY481" s="323"/>
      <c r="BZ481" s="323"/>
      <c r="CA481" s="323"/>
      <c r="CB481" s="323"/>
      <c r="CC481" s="323"/>
      <c r="CD481" s="323"/>
      <c r="CE481" s="323"/>
      <c r="CF481" s="323"/>
      <c r="CG481" s="323"/>
      <c r="CH481" s="323"/>
      <c r="CI481" s="323"/>
      <c r="CJ481" s="323"/>
      <c r="CK481" s="323"/>
      <c r="CL481" s="323"/>
      <c r="CM481" s="323"/>
      <c r="CN481" s="323"/>
      <c r="CO481" s="323"/>
      <c r="CP481" s="331"/>
      <c r="CQ481" s="324"/>
      <c r="CR481" s="323"/>
      <c r="CS481" s="323"/>
      <c r="CT481" s="323"/>
      <c r="CU481" s="323"/>
      <c r="CV481" s="323"/>
      <c r="CW481" s="323"/>
      <c r="CX481" s="323"/>
      <c r="CY481" s="323"/>
      <c r="CZ481" s="323"/>
    </row>
    <row r="482" spans="1:222" ht="31" customHeight="1" x14ac:dyDescent="0.7">
      <c r="B482" s="493" t="s">
        <v>776</v>
      </c>
      <c r="C482" s="499"/>
      <c r="D482" s="499"/>
      <c r="E482" s="506" t="s">
        <v>39</v>
      </c>
      <c r="F482" s="499"/>
      <c r="G482" s="499"/>
      <c r="H482" s="499"/>
      <c r="I482" s="500" t="str">
        <f>"Kælder Etagedæk"&amp;" "&amp;1</f>
        <v>Kælder Etagedæk 1</v>
      </c>
      <c r="J482" s="500"/>
      <c r="K482" s="499"/>
      <c r="L482" s="499"/>
      <c r="M482" s="499"/>
      <c r="N482" s="499"/>
      <c r="O482" s="499"/>
      <c r="P482" s="499"/>
      <c r="Q482" s="501"/>
      <c r="R482" s="409"/>
      <c r="S482" s="191"/>
      <c r="U482" s="251"/>
      <c r="V482" s="251"/>
      <c r="W482" s="323"/>
      <c r="X482" s="323"/>
      <c r="Y482" s="323"/>
      <c r="Z482" s="323"/>
      <c r="AA482" s="323"/>
      <c r="AB482" s="323"/>
      <c r="AC482" s="323"/>
      <c r="AD482" s="323"/>
      <c r="AE482" s="323"/>
      <c r="AF482" s="323"/>
      <c r="AG482" s="323"/>
      <c r="AH482" s="323"/>
      <c r="AI482" s="323"/>
      <c r="AJ482" s="323" t="s">
        <v>746</v>
      </c>
      <c r="AK482" s="323" t="s">
        <v>747</v>
      </c>
      <c r="AL482" s="323"/>
      <c r="AM482" s="323"/>
      <c r="AN482" s="323" t="s">
        <v>846</v>
      </c>
      <c r="AO482" s="323"/>
      <c r="AP482" s="323"/>
      <c r="AQ482" s="323"/>
      <c r="AR482" s="323" t="s">
        <v>851</v>
      </c>
      <c r="AS482" s="323"/>
      <c r="AT482" s="323"/>
      <c r="AU482" s="323"/>
      <c r="AV482" s="323"/>
      <c r="AW482" s="323"/>
      <c r="AX482" s="323"/>
      <c r="AY482" s="323"/>
      <c r="AZ482" s="323"/>
      <c r="BA482" s="323"/>
      <c r="BB482" s="323"/>
      <c r="BC482" s="323"/>
      <c r="BD482" s="323"/>
      <c r="BE482" s="323"/>
      <c r="BF482" s="323"/>
      <c r="BG482" s="323"/>
      <c r="BH482" s="323"/>
      <c r="BI482" s="323"/>
      <c r="BJ482" s="323"/>
      <c r="BK482" s="323"/>
      <c r="BL482" s="323"/>
      <c r="BM482" s="323"/>
      <c r="BN482" s="323"/>
      <c r="BO482" s="323"/>
      <c r="BP482" s="323"/>
      <c r="BQ482" s="323"/>
      <c r="BR482" s="323"/>
      <c r="BS482" s="323"/>
      <c r="BT482" s="323"/>
      <c r="BU482" s="323"/>
      <c r="BV482" s="323"/>
      <c r="BW482" s="323"/>
      <c r="BX482" s="323"/>
      <c r="BY482" s="323"/>
      <c r="BZ482" s="323"/>
      <c r="CA482" s="323"/>
      <c r="CB482" s="323"/>
      <c r="CC482" s="323"/>
      <c r="CD482" s="323"/>
      <c r="CE482" s="323"/>
      <c r="CF482" s="323"/>
      <c r="CG482" s="323"/>
      <c r="CH482" s="323"/>
      <c r="CI482" s="323"/>
      <c r="CJ482" s="323"/>
      <c r="CK482" s="323"/>
      <c r="CL482" s="323"/>
      <c r="CM482" s="323"/>
      <c r="CN482" s="323"/>
      <c r="CO482" s="323"/>
      <c r="CP482" s="449"/>
      <c r="CQ482" s="450"/>
      <c r="CR482" s="323"/>
      <c r="CS482" s="323"/>
      <c r="CT482" s="323"/>
      <c r="CU482" s="323"/>
      <c r="CV482" s="323"/>
      <c r="CW482" s="323"/>
      <c r="CX482" s="323"/>
      <c r="CY482" s="323"/>
      <c r="CZ482" s="323"/>
    </row>
    <row r="483" spans="1:222" ht="31" customHeight="1" x14ac:dyDescent="0.35">
      <c r="B483" s="359" t="s">
        <v>78</v>
      </c>
      <c r="C483" s="360"/>
      <c r="D483" s="910" t="s">
        <v>4</v>
      </c>
      <c r="E483" s="911"/>
      <c r="F483" s="911"/>
      <c r="G483" s="911"/>
      <c r="H483" s="912"/>
      <c r="I483" s="885" t="s">
        <v>5</v>
      </c>
      <c r="J483" s="886"/>
      <c r="K483" s="886"/>
      <c r="L483" s="886"/>
      <c r="M483" s="887"/>
      <c r="N483" s="877" t="s">
        <v>79</v>
      </c>
      <c r="O483" s="877"/>
      <c r="P483" s="877"/>
      <c r="Q483" s="877"/>
      <c r="R483" s="192"/>
      <c r="S483" s="411"/>
      <c r="T483" s="175"/>
      <c r="U483" s="251"/>
      <c r="V483" s="251"/>
      <c r="W483" s="323"/>
      <c r="X483" s="323"/>
      <c r="Y483" s="323"/>
      <c r="Z483" s="323"/>
      <c r="AA483" s="323"/>
      <c r="AB483" s="323"/>
      <c r="AC483" s="323"/>
      <c r="AD483" s="323"/>
      <c r="AE483" s="323"/>
      <c r="AF483" s="323"/>
      <c r="AG483" s="323"/>
      <c r="AH483" s="323"/>
      <c r="AI483" s="323" t="s">
        <v>338</v>
      </c>
      <c r="AJ483" s="323">
        <f>VLOOKUP(E486,Pris.gulv.belægning[],2,0)*C486</f>
        <v>0</v>
      </c>
      <c r="AK483" s="323">
        <f>VLOOKUP(J486,Pris.gulv.belægning[],2,0)*C486</f>
        <v>0</v>
      </c>
      <c r="AL483" s="323"/>
      <c r="AM483" s="323"/>
      <c r="AN483" s="323" t="s">
        <v>4</v>
      </c>
      <c r="AO483" s="323" t="s">
        <v>5</v>
      </c>
      <c r="AP483" s="323"/>
      <c r="AQ483" s="323"/>
      <c r="AR483" s="323" t="s">
        <v>4</v>
      </c>
      <c r="AS483" s="323" t="s">
        <v>5</v>
      </c>
      <c r="AT483" s="323"/>
      <c r="AU483" s="323"/>
      <c r="AV483" s="323"/>
      <c r="AW483" s="323"/>
      <c r="AX483" s="323"/>
      <c r="AY483" s="323"/>
      <c r="AZ483" s="323"/>
      <c r="BA483" s="323"/>
      <c r="BB483" s="323"/>
      <c r="BC483" s="323"/>
      <c r="BD483" s="323"/>
      <c r="BE483" s="323"/>
      <c r="BF483" s="323"/>
      <c r="BG483" s="323"/>
      <c r="BH483" s="323"/>
      <c r="BI483" s="323"/>
      <c r="BJ483" s="323"/>
      <c r="BK483" s="323"/>
      <c r="BL483" s="323"/>
      <c r="BM483" s="323"/>
      <c r="BN483" s="323"/>
      <c r="BO483" s="323"/>
      <c r="BP483" s="323"/>
      <c r="BQ483" s="323"/>
      <c r="BR483" s="323"/>
      <c r="BS483" s="323"/>
      <c r="BT483" s="323"/>
      <c r="BU483" s="323"/>
      <c r="BV483" s="323"/>
      <c r="BW483" s="323"/>
      <c r="BX483" s="323"/>
      <c r="BY483" s="323"/>
      <c r="BZ483" s="323"/>
      <c r="CA483" s="323"/>
      <c r="CB483" s="323"/>
      <c r="CC483" s="323"/>
      <c r="CD483" s="323"/>
      <c r="CE483" s="323"/>
      <c r="CF483" s="323"/>
      <c r="CG483" s="323"/>
      <c r="CH483" s="323"/>
      <c r="CI483" s="323"/>
      <c r="CJ483" s="323"/>
      <c r="CK483" s="323"/>
      <c r="CL483" s="323"/>
      <c r="CM483" s="323"/>
      <c r="CN483" s="323"/>
      <c r="CO483" s="323"/>
      <c r="CP483" s="331"/>
      <c r="CQ483" s="324"/>
      <c r="CR483" s="323"/>
      <c r="CS483" s="323"/>
      <c r="CT483" s="323"/>
      <c r="CU483" s="323"/>
      <c r="CV483" s="323"/>
      <c r="CW483" s="323"/>
      <c r="CX483" s="323"/>
      <c r="CY483" s="323"/>
      <c r="CZ483" s="323"/>
    </row>
    <row r="484" spans="1:222" ht="31.5" customHeight="1" x14ac:dyDescent="0.35">
      <c r="B484" s="194"/>
      <c r="C484" s="195" t="s">
        <v>80</v>
      </c>
      <c r="D484" s="908" t="s">
        <v>81</v>
      </c>
      <c r="E484" s="909"/>
      <c r="F484" s="338" t="s">
        <v>82</v>
      </c>
      <c r="G484" s="338"/>
      <c r="H484" s="346" t="s">
        <v>84</v>
      </c>
      <c r="I484" s="913" t="s">
        <v>81</v>
      </c>
      <c r="J484" s="914"/>
      <c r="K484" s="479" t="s">
        <v>82</v>
      </c>
      <c r="L484" s="479"/>
      <c r="M484" s="508" t="s">
        <v>84</v>
      </c>
      <c r="N484" s="195" t="s">
        <v>4</v>
      </c>
      <c r="O484" s="195" t="s">
        <v>85</v>
      </c>
      <c r="P484" s="195" t="s">
        <v>5</v>
      </c>
      <c r="Q484" s="195" t="s">
        <v>86</v>
      </c>
      <c r="R484" s="192"/>
      <c r="S484" s="193"/>
      <c r="U484" s="251"/>
      <c r="V484" s="251"/>
      <c r="W484" s="323" t="s">
        <v>87</v>
      </c>
      <c r="X484" s="323" t="s">
        <v>88</v>
      </c>
      <c r="Y484" s="323"/>
      <c r="Z484" s="323"/>
      <c r="AA484" s="323" t="s">
        <v>91</v>
      </c>
      <c r="AB484" s="323"/>
      <c r="AC484" s="323"/>
      <c r="AD484" s="323"/>
      <c r="AE484" s="323" t="s">
        <v>92</v>
      </c>
      <c r="AF484" s="323"/>
      <c r="AG484" s="323"/>
      <c r="AH484" s="323"/>
      <c r="AI484" s="323" t="str">
        <f>'LCA data'!$B$32</f>
        <v>Isolering</v>
      </c>
      <c r="AJ484" s="323">
        <f>VLOOKUP(E487,Pris.isolering[],2,0)*F487*C487</f>
        <v>0</v>
      </c>
      <c r="AK484" s="323">
        <f>VLOOKUP(J487,Pris.isolering[],2,0)*K487*C487</f>
        <v>0</v>
      </c>
      <c r="AL484" s="323"/>
      <c r="AM484" s="323"/>
      <c r="AN484" s="323">
        <f>SUM(AN486:AN490)</f>
        <v>0</v>
      </c>
      <c r="AO484" s="323">
        <f>SUM(AO486:AO490)</f>
        <v>0</v>
      </c>
      <c r="AP484" s="323"/>
      <c r="AQ484" s="323"/>
      <c r="AR484" s="323">
        <f>SUM(AR486:AR489)</f>
        <v>0</v>
      </c>
      <c r="AS484" s="323">
        <f>SUM(AS486:AS489)</f>
        <v>0</v>
      </c>
      <c r="AT484" s="323"/>
      <c r="AU484" s="323"/>
      <c r="AV484" s="323"/>
      <c r="AW484" s="323"/>
      <c r="AX484" s="323"/>
      <c r="AY484" s="323"/>
      <c r="AZ484" s="323"/>
      <c r="BA484" s="323"/>
      <c r="BB484" s="323"/>
      <c r="BC484" s="323"/>
      <c r="BD484" s="323"/>
      <c r="BE484" s="323"/>
      <c r="BF484" s="323"/>
      <c r="BG484" s="323"/>
      <c r="BH484" s="323"/>
      <c r="BI484" s="323"/>
      <c r="BJ484" s="323"/>
      <c r="BK484" s="323"/>
      <c r="BL484" s="323"/>
      <c r="BM484" s="323"/>
      <c r="BN484" s="323"/>
      <c r="BO484" s="323"/>
      <c r="BP484" s="323"/>
      <c r="BQ484" s="323"/>
      <c r="BR484" s="323"/>
      <c r="BS484" s="323"/>
      <c r="BT484" s="323"/>
      <c r="BU484" s="323"/>
      <c r="BV484" s="323"/>
      <c r="BW484" s="323"/>
      <c r="BX484" s="323"/>
      <c r="BY484" s="323"/>
      <c r="BZ484" s="323"/>
      <c r="CA484" s="323"/>
      <c r="CB484" s="323"/>
      <c r="CC484" s="323"/>
      <c r="CD484" s="323"/>
      <c r="CE484" s="323"/>
      <c r="CF484" s="323"/>
      <c r="CG484" s="323"/>
      <c r="CH484" s="323"/>
      <c r="CI484" s="323"/>
      <c r="CJ484" s="323"/>
      <c r="CK484" s="323"/>
      <c r="CL484" s="323"/>
      <c r="CM484" s="323"/>
      <c r="CN484" s="323"/>
      <c r="CO484" s="323"/>
      <c r="CP484" s="331"/>
      <c r="CQ484" s="324"/>
      <c r="CR484" s="323"/>
      <c r="CS484" s="323"/>
      <c r="CT484" s="323"/>
      <c r="CU484" s="323"/>
      <c r="CV484" s="323"/>
      <c r="CW484" s="323"/>
      <c r="CX484" s="323"/>
      <c r="CY484" s="323"/>
      <c r="CZ484" s="323"/>
    </row>
    <row r="485" spans="1:222" ht="26" customHeight="1" x14ac:dyDescent="0.35">
      <c r="A485" s="198"/>
      <c r="B485" s="199"/>
      <c r="C485" s="200" t="s">
        <v>93</v>
      </c>
      <c r="D485" s="361" t="s">
        <v>789</v>
      </c>
      <c r="E485" s="300" t="s">
        <v>771</v>
      </c>
      <c r="F485" s="347" t="s">
        <v>94</v>
      </c>
      <c r="G485" s="348"/>
      <c r="H485" s="349" t="s">
        <v>96</v>
      </c>
      <c r="I485" s="480" t="s">
        <v>789</v>
      </c>
      <c r="J485" s="300" t="s">
        <v>771</v>
      </c>
      <c r="K485" s="510" t="s">
        <v>94</v>
      </c>
      <c r="L485" s="511"/>
      <c r="M485" s="512" t="s">
        <v>96</v>
      </c>
      <c r="N485" s="201" t="s">
        <v>97</v>
      </c>
      <c r="O485" s="201" t="s">
        <v>97</v>
      </c>
      <c r="P485" s="201" t="s">
        <v>97</v>
      </c>
      <c r="Q485" s="201" t="s">
        <v>97</v>
      </c>
      <c r="R485" s="192"/>
      <c r="S485" s="196"/>
      <c r="T485" s="204"/>
      <c r="U485" s="251"/>
      <c r="V485" s="251"/>
      <c r="W485" s="323">
        <f>SUM(W486:W490)</f>
        <v>0</v>
      </c>
      <c r="X485" s="323">
        <f>SUM(X486:X490)</f>
        <v>0</v>
      </c>
      <c r="Y485" s="323"/>
      <c r="Z485" s="323"/>
      <c r="AA485" s="323"/>
      <c r="AB485" s="323" t="s">
        <v>111</v>
      </c>
      <c r="AC485" s="323"/>
      <c r="AD485" s="323" t="s">
        <v>99</v>
      </c>
      <c r="AE485" s="323" t="s">
        <v>100</v>
      </c>
      <c r="AF485" s="323"/>
      <c r="AG485" s="323"/>
      <c r="AH485" s="323"/>
      <c r="AI485" s="323" t="s">
        <v>41</v>
      </c>
      <c r="AJ485" s="323">
        <f>VLOOKUP(E488,Pris.Etagedæk[],2,0)*C488</f>
        <v>0</v>
      </c>
      <c r="AK485" s="323">
        <f>VLOOKUP(J488,Pris.Etagedæk[],2,0)*C488</f>
        <v>0</v>
      </c>
      <c r="AL485" s="323"/>
      <c r="AM485" s="323"/>
      <c r="AN485" s="323"/>
      <c r="AO485" s="323"/>
      <c r="AP485" s="323"/>
      <c r="AQ485" s="323"/>
      <c r="AR485" s="323"/>
      <c r="AS485" s="323"/>
      <c r="AT485" s="323"/>
      <c r="AU485" s="323"/>
      <c r="AV485" s="323"/>
      <c r="AW485" s="323"/>
      <c r="AX485" s="323"/>
      <c r="AY485" s="323"/>
      <c r="AZ485" s="323"/>
      <c r="BA485" s="323"/>
      <c r="BB485" s="323"/>
      <c r="BC485" s="323"/>
      <c r="BD485" s="323"/>
      <c r="BE485" s="323"/>
      <c r="BF485" s="323"/>
      <c r="BG485" s="323"/>
      <c r="BH485" s="323"/>
      <c r="BI485" s="323"/>
      <c r="BJ485" s="323"/>
      <c r="BK485" s="323"/>
      <c r="BL485" s="323"/>
      <c r="BM485" s="323"/>
      <c r="BN485" s="323"/>
      <c r="BO485" s="323"/>
      <c r="BP485" s="323"/>
      <c r="BQ485" s="323"/>
      <c r="BR485" s="323"/>
      <c r="BS485" s="323"/>
      <c r="BT485" s="323"/>
      <c r="BU485" s="323"/>
      <c r="BV485" s="323"/>
      <c r="BW485" s="323"/>
      <c r="BX485" s="323"/>
      <c r="BY485" s="323"/>
      <c r="BZ485" s="323"/>
      <c r="CA485" s="323"/>
      <c r="CB485" s="323"/>
      <c r="CC485" s="323"/>
      <c r="CD485" s="323"/>
      <c r="CE485" s="323"/>
      <c r="CF485" s="323"/>
      <c r="CG485" s="323"/>
      <c r="CH485" s="323"/>
      <c r="CI485" s="323"/>
      <c r="CJ485" s="323"/>
      <c r="CK485" s="323"/>
      <c r="CL485" s="323"/>
      <c r="CM485" s="323"/>
      <c r="CN485" s="323"/>
      <c r="CO485" s="323"/>
      <c r="CP485" s="331"/>
      <c r="CQ485" s="324"/>
      <c r="CR485" s="323"/>
      <c r="CS485" s="323"/>
      <c r="CT485" s="323"/>
      <c r="CU485" s="323"/>
      <c r="CV485" s="323"/>
      <c r="CW485" s="323"/>
      <c r="CX485" s="323"/>
      <c r="CY485" s="323"/>
      <c r="CZ485" s="323"/>
    </row>
    <row r="486" spans="1:222" ht="42" customHeight="1" x14ac:dyDescent="0.35">
      <c r="B486" s="363" t="str">
        <f>'LCA data'!$B$149</f>
        <v>Gulvoverflade</v>
      </c>
      <c r="C486" s="472">
        <f>$F$50*$X$26</f>
        <v>0</v>
      </c>
      <c r="D486" s="15" t="s">
        <v>103</v>
      </c>
      <c r="E486" s="342" t="str">
        <f>IF($E$485="Ja",D486,VLOOKUP(B486,Auto_Kælder_Dæk[],2,0))</f>
        <v>Beton</v>
      </c>
      <c r="F486" s="356">
        <f>(VLOOKUP(E486,Pris.gulv.belægning[],4,0))/1000</f>
        <v>0.05</v>
      </c>
      <c r="G486" s="350"/>
      <c r="H486" s="351">
        <f>IFERROR(IF(VLOOKUP(B486&amp;"_"&amp;E486,'LCA data'!$B$7:$X$200,2,FALSE)&lt;$Y$24,1,0)+IF(VLOOKUP(B486&amp;"_"&amp;E486,'LCA data'!$B$7:$X$200,2,FALSE)*2&lt;$Y$24,1,0),"")</f>
        <v>0</v>
      </c>
      <c r="I486" s="15" t="s">
        <v>103</v>
      </c>
      <c r="J486" s="342" t="str">
        <f>IF($J$485="Ja",I486,VLOOKUP(B486,Auto_Kælder_Dæk[],3,0))</f>
        <v>Beton</v>
      </c>
      <c r="K486" s="513">
        <f>(VLOOKUP(J486,Pris.gulv.belægning[],4,0))/1000</f>
        <v>0.05</v>
      </c>
      <c r="L486" s="514"/>
      <c r="M486" s="515">
        <f>IFERROR(IF(VLOOKUP(B486&amp;"_"&amp;J486,'LCA data'!$B$7:$X$200,2,FALSE)&lt;$Y$24,1,0)+IF(VLOOKUP(B486&amp;"_"&amp;J486,'LCA data'!$B$7:$X$200,2,FALSE)*2&lt;$Y$24,1,0),"")</f>
        <v>0</v>
      </c>
      <c r="N486" s="364">
        <f>W486/1000</f>
        <v>0</v>
      </c>
      <c r="O486" s="880">
        <f>SUM(N486:N490)</f>
        <v>0</v>
      </c>
      <c r="P486" s="365">
        <f>X486/1000</f>
        <v>0</v>
      </c>
      <c r="Q486" s="880">
        <f>SUM(P486:P490)</f>
        <v>0</v>
      </c>
      <c r="R486" s="202"/>
      <c r="S486" s="203"/>
      <c r="U486" s="251"/>
      <c r="V486" s="251"/>
      <c r="W486" s="323">
        <f>IF(E486="Angiv ikke",0,((1+H486)*VLOOKUP(B486&amp;"_"&amp;E486,'LCA data'!$B$7:$X$360,19,FALSE)*(F486*10^3)*C486))</f>
        <v>0</v>
      </c>
      <c r="X486" s="323">
        <f>IF(J486="Angiv ikke",0,((1+M486)*VLOOKUP(B486&amp;"_"&amp;J486,'LCA data'!$B$7:$X$360,19,FALSE)*(K486*10^3)*C486))</f>
        <v>0</v>
      </c>
      <c r="Y486" s="323"/>
      <c r="Z486" s="323"/>
      <c r="AA486" s="323" t="s">
        <v>4</v>
      </c>
      <c r="AB486" s="323">
        <f>AF486/$J$21/$Y$24*1000</f>
        <v>0</v>
      </c>
      <c r="AC486" s="323"/>
      <c r="AD486" s="323">
        <f>AB486+AC486</f>
        <v>0</v>
      </c>
      <c r="AE486" s="323" t="s">
        <v>4</v>
      </c>
      <c r="AF486" s="323">
        <f>W485/1000</f>
        <v>0</v>
      </c>
      <c r="AG486" s="323"/>
      <c r="AH486" s="323"/>
      <c r="AI486" s="323" t="str">
        <f>'LCA data'!$B$105</f>
        <v>Loftsbeklædning</v>
      </c>
      <c r="AJ486" s="323">
        <f>VLOOKUP(E489,Pris.loft.beklædning[],2,0)*C489</f>
        <v>0</v>
      </c>
      <c r="AK486" s="323">
        <f>VLOOKUP(J489,Pris.loft.beklædning[],2,0)*C489</f>
        <v>0</v>
      </c>
      <c r="AL486" s="323"/>
      <c r="AM486" s="323"/>
      <c r="AN486" s="323">
        <f>IF(E486="Angiv ikke",0,((1+H486)*VLOOKUP(B486&amp;"_"&amp;E486,'LCA data'!$B$7:$X$360,20,FALSE)*(F486*10^3)*C486))</f>
        <v>0</v>
      </c>
      <c r="AO486" s="323">
        <f>IF(J486="Angiv ikke",0,((1+M486)*VLOOKUP(B486&amp;"_"&amp;J486,'LCA data'!$B$7:$X$360,20,FALSE)*(K486*10^3)*C486))</f>
        <v>0</v>
      </c>
      <c r="AP486" s="323"/>
      <c r="AQ486" s="323"/>
      <c r="AR486" s="323">
        <f>IF(E486="Angiv ikke",0,((1+H486)*VLOOKUP(B486&amp;"_"&amp;E486,'LCA data'!$B$7:$AA$360,26,FALSE)*(F486*10^3)*C486))</f>
        <v>0</v>
      </c>
      <c r="AS486" s="323">
        <f>IF(J486="Angiv ikke",0,((1+M486)*VLOOKUP(B486&amp;"_"&amp;J486,'LCA data'!$B$7:$AA$360,26,FALSE)*(K486*10^3)*C486))</f>
        <v>0</v>
      </c>
      <c r="AT486" s="323"/>
      <c r="AU486" s="323"/>
      <c r="AV486" s="323"/>
      <c r="AW486" s="323"/>
      <c r="AX486" s="323"/>
      <c r="AY486" s="323"/>
      <c r="AZ486" s="323"/>
      <c r="BA486" s="323"/>
      <c r="BB486" s="323"/>
      <c r="BC486" s="323"/>
      <c r="BD486" s="323"/>
      <c r="BE486" s="323"/>
      <c r="BF486" s="323"/>
      <c r="BG486" s="323"/>
      <c r="BH486" s="323"/>
      <c r="BI486" s="323"/>
      <c r="BJ486" s="323"/>
      <c r="BK486" s="323"/>
      <c r="BL486" s="323"/>
      <c r="BM486" s="323"/>
      <c r="BN486" s="323"/>
      <c r="BO486" s="323"/>
      <c r="BP486" s="323"/>
      <c r="BQ486" s="323"/>
      <c r="BR486" s="323"/>
      <c r="BS486" s="323"/>
      <c r="BT486" s="323"/>
      <c r="BU486" s="323"/>
      <c r="BV486" s="323"/>
      <c r="BW486" s="323"/>
      <c r="BX486" s="323"/>
      <c r="BY486" s="323"/>
      <c r="BZ486" s="323"/>
      <c r="CA486" s="323"/>
      <c r="CB486" s="323"/>
      <c r="CC486" s="323"/>
      <c r="CD486" s="323"/>
      <c r="CE486" s="323"/>
      <c r="CF486" s="323"/>
      <c r="CG486" s="323"/>
      <c r="CH486" s="323"/>
      <c r="CI486" s="323"/>
      <c r="CJ486" s="323"/>
      <c r="CK486" s="323"/>
      <c r="CL486" s="323"/>
      <c r="CM486" s="323"/>
      <c r="CN486" s="323"/>
      <c r="CO486" s="323"/>
      <c r="CP486" s="331"/>
      <c r="CQ486" s="324"/>
      <c r="CR486" s="323"/>
      <c r="CS486" s="323"/>
      <c r="CT486" s="323"/>
      <c r="CU486" s="323"/>
      <c r="CV486" s="323"/>
      <c r="CW486" s="323"/>
      <c r="CX486" s="323"/>
      <c r="CY486" s="323"/>
      <c r="CZ486" s="323"/>
    </row>
    <row r="487" spans="1:222" ht="42" customHeight="1" x14ac:dyDescent="0.35">
      <c r="B487" s="208" t="str">
        <f>'LCA data'!$B$32</f>
        <v>Isolering</v>
      </c>
      <c r="C487" s="472">
        <f>$F$50*$X$26</f>
        <v>0</v>
      </c>
      <c r="D487" s="168" t="s">
        <v>103</v>
      </c>
      <c r="E487" s="342" t="str">
        <f>IF($E$485="Ja",D487,VLOOKUP(B487,Auto_Kælder_Dæk[],2,0))</f>
        <v>EPS</v>
      </c>
      <c r="F487" s="11">
        <v>0.15</v>
      </c>
      <c r="G487" s="353"/>
      <c r="H487" s="351">
        <f>IFERROR(IF(VLOOKUP(B487&amp;"_"&amp;E487,'LCA data'!$B$7:$X$200,2,FALSE)&lt;$Y$24,1,0)+IF(VLOOKUP(B487&amp;"_"&amp;E487,'LCA data'!$B$7:$X$200,2,FALSE)*2&lt;$Y$24,1,0),"")</f>
        <v>0</v>
      </c>
      <c r="I487" s="168" t="s">
        <v>103</v>
      </c>
      <c r="J487" s="342" t="str">
        <f>IF($J$485="Ja",I487,VLOOKUP(B487,Auto_Kælder_Dæk[],3,0))</f>
        <v>EPS</v>
      </c>
      <c r="K487" s="11">
        <v>0.15</v>
      </c>
      <c r="L487" s="528"/>
      <c r="M487" s="515">
        <f>IFERROR(IF(VLOOKUP(B487&amp;"_"&amp;J487,'LCA data'!$B$7:$X$200,2,FALSE)&lt;$Y$24,1,0)+IF(VLOOKUP(B487&amp;"_"&amp;J487,'LCA data'!$B$7:$X$200,2,FALSE)*2&lt;$Y$24,1,0),"")</f>
        <v>0</v>
      </c>
      <c r="N487" s="206">
        <f>W487/1000</f>
        <v>0</v>
      </c>
      <c r="O487" s="878"/>
      <c r="P487" s="207">
        <f>X487/1000</f>
        <v>0</v>
      </c>
      <c r="Q487" s="878"/>
      <c r="R487" s="192"/>
      <c r="S487" s="196"/>
      <c r="U487" s="251"/>
      <c r="V487" s="251"/>
      <c r="W487" s="323">
        <f>IF(E487="Angiv ikke",0,((1+H487)*VLOOKUP(B487&amp;"_"&amp;E487,'LCA data'!$B$7:$X$360,19,FALSE)*(F487*10^3)*C487))</f>
        <v>0</v>
      </c>
      <c r="X487" s="323">
        <f>IF(J487="Angiv ikke",0,((1+M487)*VLOOKUP(B487&amp;"_"&amp;J487,'LCA data'!$B$7:$X$360,19,FALSE)*(K487*10^3)*C487))</f>
        <v>0</v>
      </c>
      <c r="Y487" s="323"/>
      <c r="Z487" s="323"/>
      <c r="AA487" s="323" t="s">
        <v>5</v>
      </c>
      <c r="AB487" s="323">
        <f>AG487/$J$21/$Y$24*1000</f>
        <v>0</v>
      </c>
      <c r="AC487" s="323"/>
      <c r="AD487" s="323">
        <f>AB487+AC487</f>
        <v>0</v>
      </c>
      <c r="AE487" s="323" t="s">
        <v>5</v>
      </c>
      <c r="AF487" s="323"/>
      <c r="AG487" s="323">
        <f>X485/1000</f>
        <v>0</v>
      </c>
      <c r="AH487" s="323"/>
      <c r="AI487" s="323" t="s">
        <v>743</v>
      </c>
      <c r="AJ487" s="323">
        <f>SUM(AJ483:AJ486)</f>
        <v>0</v>
      </c>
      <c r="AK487" s="323">
        <f>SUM(AK483:AK486)</f>
        <v>0</v>
      </c>
      <c r="AL487" s="323"/>
      <c r="AM487" s="323"/>
      <c r="AN487" s="323">
        <f>IF(E487="Angiv ikke",0,((1+H487)*VLOOKUP(B487&amp;"_"&amp;E487,'LCA data'!$B$7:$X$360,20,FALSE)*(F487*10^3)*C487))</f>
        <v>0</v>
      </c>
      <c r="AO487" s="323">
        <f>IF(J487="Angiv ikke",0,((1+M487)*VLOOKUP(B487&amp;"_"&amp;J487,'LCA data'!$B$7:$X$360,20,FALSE)*(K487*10^3)*C487))</f>
        <v>0</v>
      </c>
      <c r="AP487" s="323"/>
      <c r="AQ487" s="323"/>
      <c r="AR487" s="323">
        <f>IF(E487="Angiv ikke",0,((1+H487)*VLOOKUP(B487&amp;"_"&amp;E487,'LCA data'!$B$7:$AA$360,26,FALSE)*(F487*10^3)*C487))</f>
        <v>0</v>
      </c>
      <c r="AS487" s="323">
        <f>IF(J487="Angiv ikke",0,((1+M487)*VLOOKUP(B487&amp;"_"&amp;J487,'LCA data'!$B$7:$AA$360,26,FALSE)*(K487*10^3)*C487))</f>
        <v>0</v>
      </c>
      <c r="AT487" s="323"/>
      <c r="AU487" s="323"/>
      <c r="AV487" s="323"/>
      <c r="AW487" s="323"/>
      <c r="AX487" s="323"/>
      <c r="AY487" s="323"/>
      <c r="AZ487" s="323"/>
      <c r="BA487" s="323"/>
      <c r="BB487" s="323"/>
      <c r="BC487" s="323"/>
      <c r="BD487" s="323"/>
      <c r="BE487" s="323"/>
      <c r="BF487" s="323"/>
      <c r="BG487" s="323"/>
      <c r="BH487" s="323"/>
      <c r="BI487" s="323"/>
      <c r="BJ487" s="323"/>
      <c r="BK487" s="323"/>
      <c r="BL487" s="323"/>
      <c r="BM487" s="323"/>
      <c r="BN487" s="323"/>
      <c r="BO487" s="323"/>
      <c r="BP487" s="323"/>
      <c r="BQ487" s="323"/>
      <c r="BR487" s="323"/>
      <c r="BS487" s="323"/>
      <c r="BT487" s="323"/>
      <c r="BU487" s="323"/>
      <c r="BV487" s="323"/>
      <c r="BW487" s="323"/>
      <c r="BX487" s="323"/>
      <c r="BY487" s="323"/>
      <c r="BZ487" s="323"/>
      <c r="CA487" s="323"/>
      <c r="CB487" s="323"/>
      <c r="CC487" s="323"/>
      <c r="CD487" s="323"/>
      <c r="CE487" s="323"/>
      <c r="CF487" s="323"/>
      <c r="CG487" s="323"/>
      <c r="CH487" s="323"/>
      <c r="CI487" s="323"/>
      <c r="CJ487" s="323"/>
      <c r="CK487" s="323"/>
      <c r="CL487" s="323"/>
      <c r="CM487" s="323"/>
      <c r="CN487" s="323"/>
      <c r="CO487" s="323"/>
      <c r="CP487" s="331"/>
      <c r="CQ487" s="324"/>
      <c r="CR487" s="323"/>
      <c r="CS487" s="323"/>
      <c r="CT487" s="323"/>
      <c r="CU487" s="323"/>
      <c r="CV487" s="323"/>
      <c r="CW487" s="323"/>
      <c r="CX487" s="323"/>
      <c r="CY487" s="323"/>
      <c r="CZ487" s="323"/>
    </row>
    <row r="488" spans="1:222" ht="42" customHeight="1" x14ac:dyDescent="0.35">
      <c r="B488" s="205" t="str">
        <f>'LCA data'!$B$138</f>
        <v>Etagedæk</v>
      </c>
      <c r="C488" s="472">
        <f>$F$50*$X$26</f>
        <v>0</v>
      </c>
      <c r="D488" s="169" t="s">
        <v>103</v>
      </c>
      <c r="E488" s="342" t="str">
        <f>IF($E$485="Ja",D488,VLOOKUP(B488,Auto_Kælder_Dæk[],2,0))</f>
        <v>Betonelement C45/55</v>
      </c>
      <c r="F488" s="172">
        <f>VLOOKUP(E488,Pris.Etagedæk[],4,0)/1000</f>
        <v>0.22</v>
      </c>
      <c r="G488" s="350"/>
      <c r="H488" s="351">
        <f>IFERROR(IF(VLOOKUP(B488&amp;"_"&amp;E488,'LCA data'!$B$7:$X$360,2,FALSE)&lt;$Y$24,1,0)+IF(VLOOKUP(B488&amp;"_"&amp;E488,'LCA data'!$B$7:$X$360,2,FALSE)*2&lt;$Y$24,1,0),"")</f>
        <v>0</v>
      </c>
      <c r="I488" s="169" t="s">
        <v>103</v>
      </c>
      <c r="J488" s="342" t="str">
        <f>IF($J$485="Ja",I488,VLOOKUP(B488,Auto_Kælder_Dæk[],3,0))</f>
        <v>Betonelement C45/55</v>
      </c>
      <c r="K488" s="172">
        <f>VLOOKUP(J488,Pris.Etagedæk[],4,0)/1000</f>
        <v>0.22</v>
      </c>
      <c r="L488" s="514"/>
      <c r="M488" s="515">
        <f>IFERROR(IF(VLOOKUP(B488&amp;"_"&amp;J488,'LCA data'!$B$7:$X$360,2,FALSE)&lt;$Y$24,1,0)+IF(VLOOKUP(B488&amp;"_"&amp;J488,'LCA data'!$B$7:$X$360,2,FALSE)*2&lt;$Y$24,1,0),"")</f>
        <v>0</v>
      </c>
      <c r="N488" s="206">
        <f>W488/1000</f>
        <v>0</v>
      </c>
      <c r="O488" s="878"/>
      <c r="P488" s="207">
        <f>X488/1000</f>
        <v>0</v>
      </c>
      <c r="Q488" s="878"/>
      <c r="R488" s="192"/>
      <c r="S488" s="196"/>
      <c r="U488" s="251"/>
      <c r="V488" s="251"/>
      <c r="W488" s="323">
        <f>IF(E488="Angiv ikke",0,((1+H488)*VLOOKUP(B488&amp;"_"&amp;E488,'LCA data'!$B$7:$X$360,19,FALSE)*(F488*10^3)*C488))</f>
        <v>0</v>
      </c>
      <c r="X488" s="323">
        <f>IF(J488="Angiv ikke",0,((1+M488)*VLOOKUP(B488&amp;"_"&amp;J488,'LCA data'!$B$7:$X$360,19,FALSE)*(K488*10^3)*C488))</f>
        <v>0</v>
      </c>
      <c r="Y488" s="323"/>
      <c r="Z488" s="323"/>
      <c r="AA488" s="323"/>
      <c r="AB488" s="323"/>
      <c r="AC488" s="323"/>
      <c r="AD488" s="323"/>
      <c r="AE488" s="323"/>
      <c r="AF488" s="323"/>
      <c r="AG488" s="323"/>
      <c r="AH488" s="323"/>
      <c r="AI488" s="323"/>
      <c r="AJ488" s="323"/>
      <c r="AK488" s="323"/>
      <c r="AL488" s="323"/>
      <c r="AM488" s="323"/>
      <c r="AN488" s="323">
        <f>IF(E488="Angiv ikke",0,((1+H488)*VLOOKUP(B488&amp;"_"&amp;E488,'LCA data'!$B$7:$X$360,20,FALSE)*(F488*10^3)*C488))</f>
        <v>0</v>
      </c>
      <c r="AO488" s="323">
        <f>IF(J488="Angiv ikke",0,((1+M488)*VLOOKUP(B488&amp;"_"&amp;J488,'LCA data'!$B$7:$X$360,20,FALSE)*(K488*10^3)*C488))</f>
        <v>0</v>
      </c>
      <c r="AP488" s="323"/>
      <c r="AQ488" s="323"/>
      <c r="AR488" s="323">
        <f>IF(E488="Angiv ikke",0,((1+H488)*VLOOKUP(B488&amp;"_"&amp;E488,'LCA data'!$B$7:$AA$360,26,FALSE)*(F488*10^3)*C488))</f>
        <v>0</v>
      </c>
      <c r="AS488" s="323">
        <f>IF(J488="Angiv ikke",0,((1+M488)*VLOOKUP(B488&amp;"_"&amp;J488,'LCA data'!$B$7:$AA$360,26,FALSE)*(K488*10^3)*C488))</f>
        <v>0</v>
      </c>
      <c r="AT488" s="323"/>
      <c r="AU488" s="323"/>
      <c r="AV488" s="323"/>
      <c r="AW488" s="323"/>
      <c r="AX488" s="323"/>
      <c r="AY488" s="323"/>
      <c r="AZ488" s="323"/>
      <c r="BA488" s="323"/>
      <c r="BB488" s="323"/>
      <c r="BC488" s="323"/>
      <c r="BD488" s="323"/>
      <c r="BE488" s="323"/>
      <c r="BF488" s="323"/>
      <c r="BG488" s="323"/>
      <c r="BH488" s="323"/>
      <c r="BI488" s="323"/>
      <c r="BJ488" s="323"/>
      <c r="BK488" s="323"/>
      <c r="BL488" s="323"/>
      <c r="BM488" s="323"/>
      <c r="BN488" s="323"/>
      <c r="BO488" s="323"/>
      <c r="BP488" s="323"/>
      <c r="BQ488" s="323"/>
      <c r="BR488" s="323"/>
      <c r="BS488" s="323"/>
      <c r="BT488" s="323"/>
      <c r="BU488" s="323"/>
      <c r="BV488" s="323"/>
      <c r="BW488" s="323"/>
      <c r="BX488" s="323"/>
      <c r="BY488" s="323"/>
      <c r="BZ488" s="323"/>
      <c r="CA488" s="323"/>
      <c r="CB488" s="323"/>
      <c r="CC488" s="323"/>
      <c r="CD488" s="323"/>
      <c r="CE488" s="323"/>
      <c r="CF488" s="323"/>
      <c r="CG488" s="323"/>
      <c r="CH488" s="323"/>
      <c r="CI488" s="323"/>
      <c r="CJ488" s="323"/>
      <c r="CK488" s="323"/>
      <c r="CL488" s="323"/>
      <c r="CM488" s="323"/>
      <c r="CN488" s="323"/>
      <c r="CO488" s="323"/>
      <c r="CQ488" s="324"/>
      <c r="CR488" s="323"/>
      <c r="CS488" s="323"/>
      <c r="CT488" s="323"/>
      <c r="CU488" s="323"/>
      <c r="CV488" s="323"/>
      <c r="CW488" s="323"/>
      <c r="CX488" s="323"/>
      <c r="CY488" s="323"/>
      <c r="CZ488" s="323"/>
    </row>
    <row r="489" spans="1:222" ht="42" customHeight="1" thickBot="1" x14ac:dyDescent="0.4">
      <c r="B489" s="209" t="str">
        <f>$B$145</f>
        <v>Loftsbeklædning</v>
      </c>
      <c r="C489" s="477">
        <f>$F$50*$X$26</f>
        <v>0</v>
      </c>
      <c r="D489" s="171" t="s">
        <v>103</v>
      </c>
      <c r="E489" s="344" t="str">
        <f>IF($E$485="Ja",D489,VLOOKUP(B489,Auto_Kælder_Dæk[],2,0))</f>
        <v>Akrylmaling på puds</v>
      </c>
      <c r="F489" s="459">
        <f>(VLOOKUP(E489,Pris.loft.beklædning[],4,0))/1000</f>
        <v>3.0000000000000001E-3</v>
      </c>
      <c r="G489" s="354"/>
      <c r="H489" s="355">
        <f>IFERROR(IF(VLOOKUP(B489&amp;"_"&amp;E489,'LCA data'!$B$7:$X$200,2,FALSE)&lt;$Y$24,1,0)+IF(VLOOKUP(B489&amp;"_"&amp;E489,'LCA data'!$B$7:$X$200,2,FALSE)*2&lt;$Y$24,1,0),"")</f>
        <v>0</v>
      </c>
      <c r="I489" s="171" t="s">
        <v>103</v>
      </c>
      <c r="J489" s="344" t="str">
        <f>IF($J$485="Ja",I489,VLOOKUP(B489,Auto_Kælder_Dæk[],3,0))</f>
        <v>Akrylmaling på puds</v>
      </c>
      <c r="K489" s="518">
        <f>(VLOOKUP(J489,Pris.loft.beklædning[],4,0))/1000</f>
        <v>3.0000000000000001E-3</v>
      </c>
      <c r="L489" s="519"/>
      <c r="M489" s="520">
        <f>IFERROR(IF(VLOOKUP(B489&amp;"_"&amp;J489,'LCA data'!$B$7:$X$200,2,FALSE)&lt;$Y$24,1,0)+IF(VLOOKUP(B489&amp;"_"&amp;J489,'LCA data'!$B$7:$X$200,2,FALSE)*2&lt;$Y$24,1,0),"")</f>
        <v>0</v>
      </c>
      <c r="N489" s="210">
        <f>W489/1000</f>
        <v>0</v>
      </c>
      <c r="O489" s="879"/>
      <c r="P489" s="211">
        <f>X489/1000</f>
        <v>0</v>
      </c>
      <c r="Q489" s="879"/>
      <c r="R489" s="212"/>
      <c r="S489" s="213"/>
      <c r="U489" s="251"/>
      <c r="V489" s="251"/>
      <c r="W489" s="323">
        <f>IF(E489="Angiv ikke",0,((1+H489)*VLOOKUP(B489&amp;"_"&amp;E489,'LCA data'!$B$7:$X$360,19,FALSE)*(F489*10^3)*C489))</f>
        <v>0</v>
      </c>
      <c r="X489" s="323">
        <f>IF(J489="Angiv ikke",0,((1+M489)*VLOOKUP(B489&amp;"_"&amp;J489,'LCA data'!$B$7:$X$360,19,FALSE)*(K489*10^3)*C489))</f>
        <v>0</v>
      </c>
      <c r="Y489" s="323"/>
      <c r="Z489" s="323"/>
      <c r="AA489" s="323"/>
      <c r="AB489" s="323"/>
      <c r="AC489" s="323"/>
      <c r="AD489" s="323"/>
      <c r="AE489" s="323"/>
      <c r="AF489" s="323"/>
      <c r="AG489" s="323"/>
      <c r="AH489" s="323"/>
      <c r="AI489" s="323"/>
      <c r="AJ489" s="323"/>
      <c r="AK489" s="323"/>
      <c r="AL489" s="323"/>
      <c r="AM489" s="323"/>
      <c r="AN489" s="323">
        <f>IF(E489="Angiv ikke",0,((1+H489)*VLOOKUP(B489&amp;"_"&amp;E489,'LCA data'!$B$7:$X$360,20,FALSE)*(F489*10^3)*C489))</f>
        <v>0</v>
      </c>
      <c r="AO489" s="323">
        <f>IF(J489="Angiv ikke",0,((1+M489)*VLOOKUP(B489&amp;"_"&amp;J489,'LCA data'!$B$7:$X$360,20,FALSE)*(K489*10^3)*C489))</f>
        <v>0</v>
      </c>
      <c r="AP489" s="323"/>
      <c r="AQ489" s="323"/>
      <c r="AR489" s="323">
        <f>IF(E489="Angiv ikke",0,((1+H489)*VLOOKUP(B489&amp;"_"&amp;E489,'LCA data'!$B$7:$AA$360,26,FALSE)*(F489*10^3)*C489))</f>
        <v>0</v>
      </c>
      <c r="AS489" s="323">
        <f>IF(J489="Angiv ikke",0,((1+M489)*VLOOKUP(B489&amp;"_"&amp;J489,'LCA data'!$B$7:$AA$360,26,FALSE)*(K489*10^3)*C489))</f>
        <v>0</v>
      </c>
      <c r="AT489" s="323"/>
      <c r="AU489" s="323"/>
      <c r="AV489" s="323"/>
      <c r="AW489" s="323"/>
      <c r="AX489" s="323"/>
      <c r="AY489" s="323"/>
      <c r="AZ489" s="323"/>
      <c r="BA489" s="323"/>
      <c r="BB489" s="323"/>
      <c r="BC489" s="323"/>
      <c r="BD489" s="323"/>
      <c r="BE489" s="323"/>
      <c r="BF489" s="323"/>
      <c r="BG489" s="323"/>
      <c r="BH489" s="323"/>
      <c r="BI489" s="323"/>
      <c r="BJ489" s="323"/>
      <c r="BK489" s="323"/>
      <c r="BL489" s="323"/>
      <c r="BM489" s="323"/>
      <c r="BN489" s="323"/>
      <c r="BO489" s="323"/>
      <c r="BP489" s="323"/>
      <c r="BQ489" s="323"/>
      <c r="BR489" s="323"/>
      <c r="BS489" s="323"/>
      <c r="BT489" s="323"/>
      <c r="BU489" s="323"/>
      <c r="BV489" s="323"/>
      <c r="BW489" s="323"/>
      <c r="BX489" s="323"/>
      <c r="BY489" s="323"/>
      <c r="BZ489" s="323"/>
      <c r="CA489" s="323"/>
      <c r="CB489" s="323"/>
      <c r="CC489" s="323"/>
      <c r="CD489" s="323"/>
      <c r="CE489" s="323"/>
      <c r="CF489" s="323"/>
      <c r="CG489" s="323"/>
      <c r="CH489" s="323"/>
      <c r="CI489" s="323"/>
      <c r="CJ489" s="323"/>
      <c r="CK489" s="323"/>
      <c r="CL489" s="323"/>
      <c r="CM489" s="323"/>
      <c r="CN489" s="323"/>
      <c r="CO489" s="323"/>
      <c r="CQ489" s="252"/>
      <c r="CR489" s="323"/>
      <c r="CS489" s="323"/>
      <c r="CT489" s="323"/>
      <c r="CU489" s="323"/>
      <c r="CV489" s="323"/>
      <c r="CW489" s="323"/>
      <c r="CX489" s="323"/>
      <c r="CY489" s="323"/>
      <c r="CZ489" s="323"/>
    </row>
    <row r="490" spans="1:222" ht="23" customHeight="1" x14ac:dyDescent="0.35">
      <c r="B490" s="173" t="s">
        <v>130</v>
      </c>
      <c r="C490" s="217"/>
      <c r="E490" s="217"/>
      <c r="F490" s="217"/>
      <c r="G490" s="217"/>
      <c r="H490" s="217"/>
      <c r="J490" s="217"/>
      <c r="K490" s="217"/>
      <c r="L490" s="217"/>
      <c r="M490" s="217"/>
      <c r="N490" s="217"/>
      <c r="O490" s="217"/>
      <c r="P490" s="217"/>
      <c r="Q490" s="217"/>
      <c r="R490" s="217"/>
      <c r="U490" s="251"/>
      <c r="V490" s="251"/>
      <c r="W490" s="323">
        <f>IFERROR(IF(OR(E490="Angiv ikke",J490="Angiv ikke"),0,(VLOOKUP(B490&amp;"_"&amp;J490,'LCA data'!$B$7:$X$2106,19,FALSE)+M490*VLOOKUP(B490&amp;"_"&amp;J490,'LCA data'!$B$7:$X$2106,19,FALSE))*(K490*10^3)*C490),0)</f>
        <v>0</v>
      </c>
      <c r="X490" s="323"/>
      <c r="Y490" s="323"/>
      <c r="Z490" s="323"/>
      <c r="AA490" s="323"/>
      <c r="AB490" s="323"/>
      <c r="AC490" s="323"/>
      <c r="AD490" s="323"/>
      <c r="AE490" s="323"/>
      <c r="AF490" s="323"/>
      <c r="AG490" s="323"/>
      <c r="AH490" s="323"/>
      <c r="AI490" s="323"/>
      <c r="AJ490" s="323"/>
      <c r="AK490" s="323"/>
      <c r="AL490" s="323"/>
      <c r="AM490" s="323"/>
      <c r="AN490" s="323"/>
      <c r="AO490" s="323"/>
      <c r="AP490" s="323"/>
      <c r="AQ490" s="323"/>
      <c r="AR490" s="323"/>
      <c r="AS490" s="323"/>
      <c r="AT490" s="323"/>
      <c r="AU490" s="323"/>
      <c r="AV490" s="323"/>
      <c r="AW490" s="323"/>
      <c r="AX490" s="323"/>
      <c r="AY490" s="323"/>
      <c r="AZ490" s="323"/>
      <c r="BA490" s="323"/>
      <c r="BB490" s="323"/>
      <c r="BC490" s="323"/>
      <c r="BD490" s="323"/>
      <c r="BE490" s="323"/>
      <c r="BF490" s="323"/>
      <c r="BG490" s="323"/>
      <c r="BH490" s="323"/>
      <c r="BI490" s="323"/>
      <c r="BJ490" s="323"/>
      <c r="BK490" s="323"/>
      <c r="BL490" s="323"/>
      <c r="BM490" s="323"/>
      <c r="BN490" s="323"/>
      <c r="BO490" s="323"/>
      <c r="BP490" s="323"/>
      <c r="BQ490" s="323"/>
      <c r="BR490" s="323"/>
      <c r="BS490" s="323"/>
      <c r="BT490" s="323"/>
      <c r="BU490" s="323"/>
      <c r="BV490" s="323"/>
      <c r="BW490" s="323"/>
      <c r="BX490" s="323"/>
      <c r="BY490" s="323"/>
      <c r="BZ490" s="323"/>
      <c r="CA490" s="323"/>
      <c r="CB490" s="323"/>
      <c r="CC490" s="323"/>
      <c r="CD490" s="323"/>
      <c r="CE490" s="323"/>
      <c r="CF490" s="323"/>
      <c r="CG490" s="323"/>
      <c r="CH490" s="323"/>
      <c r="CI490" s="323"/>
      <c r="CJ490" s="323"/>
      <c r="CK490" s="323"/>
      <c r="CL490" s="323"/>
      <c r="CM490" s="323"/>
      <c r="CN490" s="323"/>
      <c r="CO490" s="323"/>
      <c r="CP490" s="331"/>
      <c r="CQ490" s="451"/>
      <c r="CR490" s="323"/>
      <c r="CS490" s="323"/>
      <c r="CT490" s="323"/>
      <c r="CU490" s="323"/>
      <c r="CV490" s="323"/>
      <c r="CW490" s="323"/>
      <c r="CX490" s="323"/>
      <c r="CY490" s="323"/>
      <c r="CZ490" s="323"/>
    </row>
    <row r="491" spans="1:222" ht="14.5" customHeight="1" x14ac:dyDescent="0.35">
      <c r="B491" s="542"/>
      <c r="C491" s="542"/>
      <c r="D491" s="542"/>
      <c r="E491" s="542"/>
      <c r="F491" s="542"/>
      <c r="G491" s="542"/>
      <c r="H491" s="542"/>
      <c r="I491" s="542"/>
      <c r="J491" s="542"/>
      <c r="K491" s="542"/>
      <c r="L491" s="542"/>
      <c r="M491" s="542"/>
      <c r="N491" s="218"/>
      <c r="P491" s="216"/>
      <c r="R491" s="217"/>
      <c r="U491" s="251"/>
      <c r="V491" s="251"/>
      <c r="W491" s="323"/>
      <c r="X491" s="323"/>
      <c r="Y491" s="323"/>
      <c r="Z491" s="323"/>
      <c r="AA491" s="323"/>
      <c r="AB491" s="323"/>
      <c r="AC491" s="323"/>
      <c r="AD491" s="323"/>
      <c r="AE491" s="323"/>
      <c r="AF491" s="323"/>
      <c r="AG491" s="323"/>
      <c r="AH491" s="323"/>
      <c r="AI491" s="323"/>
      <c r="AJ491" s="323"/>
      <c r="AK491" s="323"/>
      <c r="AL491" s="323"/>
      <c r="AM491" s="323"/>
      <c r="AN491" s="323"/>
      <c r="AO491" s="323"/>
      <c r="AP491" s="323"/>
      <c r="AQ491" s="323"/>
      <c r="AR491" s="323"/>
      <c r="AS491" s="323"/>
      <c r="AT491" s="323"/>
      <c r="AU491" s="323"/>
      <c r="AV491" s="323"/>
      <c r="AW491" s="323"/>
      <c r="AX491" s="323"/>
      <c r="AY491" s="323"/>
      <c r="AZ491" s="323"/>
      <c r="BA491" s="323"/>
      <c r="BB491" s="323"/>
      <c r="BC491" s="323"/>
      <c r="BD491" s="323"/>
      <c r="BE491" s="323"/>
      <c r="BF491" s="323"/>
      <c r="BG491" s="323"/>
      <c r="BH491" s="323"/>
      <c r="BI491" s="323"/>
      <c r="BJ491" s="323"/>
      <c r="BK491" s="323"/>
      <c r="BL491" s="323"/>
      <c r="BM491" s="323"/>
      <c r="BN491" s="323"/>
      <c r="BO491" s="323"/>
      <c r="BP491" s="323"/>
      <c r="BQ491" s="323"/>
      <c r="BR491" s="323"/>
      <c r="BS491" s="323"/>
      <c r="BT491" s="323"/>
      <c r="BU491" s="323"/>
      <c r="BV491" s="323"/>
      <c r="BW491" s="323"/>
      <c r="BX491" s="323"/>
      <c r="BY491" s="323"/>
      <c r="BZ491" s="323"/>
      <c r="CA491" s="323"/>
      <c r="CB491" s="323"/>
      <c r="CC491" s="323"/>
      <c r="CD491" s="323"/>
      <c r="CE491" s="323"/>
      <c r="CF491" s="323"/>
      <c r="CG491" s="323"/>
      <c r="CH491" s="323"/>
      <c r="CI491" s="323"/>
      <c r="CJ491" s="323"/>
      <c r="CK491" s="323"/>
      <c r="CL491" s="323"/>
      <c r="CM491" s="323"/>
      <c r="CN491" s="323"/>
      <c r="CO491" s="323"/>
      <c r="CP491" s="331"/>
      <c r="CQ491" s="324"/>
      <c r="CR491" s="323"/>
      <c r="CS491" s="323"/>
      <c r="CT491" s="323"/>
      <c r="CU491" s="323"/>
      <c r="CV491" s="323"/>
      <c r="CW491" s="323"/>
      <c r="CX491" s="323"/>
      <c r="CY491" s="323"/>
      <c r="CZ491" s="323"/>
    </row>
    <row r="492" spans="1:222" ht="19" customHeight="1" x14ac:dyDescent="0.35">
      <c r="S492" s="217"/>
      <c r="U492" s="251"/>
      <c r="V492" s="251"/>
      <c r="W492" s="323"/>
      <c r="X492" s="323"/>
      <c r="Y492" s="323"/>
      <c r="Z492" s="323"/>
      <c r="AA492" s="323"/>
      <c r="AB492" s="323"/>
      <c r="AC492" s="323"/>
      <c r="AD492" s="323"/>
      <c r="AE492" s="323"/>
      <c r="AF492" s="323"/>
      <c r="AG492" s="323"/>
      <c r="AH492" s="323"/>
      <c r="AI492" s="323"/>
      <c r="AJ492" s="323"/>
      <c r="AK492" s="323"/>
      <c r="AL492" s="323"/>
      <c r="AM492" s="323"/>
      <c r="AN492" s="323"/>
      <c r="AO492" s="323"/>
      <c r="AP492" s="323"/>
      <c r="AQ492" s="323"/>
      <c r="AR492" s="323"/>
      <c r="AS492" s="323"/>
      <c r="AT492" s="323"/>
      <c r="AU492" s="323"/>
      <c r="AV492" s="323"/>
      <c r="AW492" s="323"/>
      <c r="AX492" s="323"/>
      <c r="AY492" s="323"/>
      <c r="AZ492" s="323"/>
      <c r="BA492" s="323"/>
      <c r="BB492" s="323"/>
      <c r="BC492" s="323"/>
      <c r="BD492" s="323"/>
      <c r="BE492" s="323"/>
      <c r="BF492" s="323"/>
      <c r="BG492" s="323"/>
      <c r="BH492" s="323"/>
      <c r="BI492" s="323"/>
      <c r="BJ492" s="323"/>
      <c r="BK492" s="323"/>
      <c r="BL492" s="323"/>
      <c r="BM492" s="323"/>
      <c r="BN492" s="323"/>
      <c r="BO492" s="323"/>
      <c r="BP492" s="323"/>
      <c r="BQ492" s="323"/>
      <c r="BR492" s="323"/>
      <c r="BS492" s="323"/>
      <c r="BT492" s="323"/>
      <c r="BU492" s="323"/>
      <c r="BV492" s="323"/>
      <c r="BW492" s="323"/>
      <c r="BX492" s="323"/>
      <c r="BY492" s="323"/>
      <c r="BZ492" s="323"/>
      <c r="CA492" s="323"/>
      <c r="CB492" s="323"/>
      <c r="CC492" s="323"/>
      <c r="CD492" s="323"/>
      <c r="CE492" s="323"/>
      <c r="CF492" s="323"/>
      <c r="CG492" s="323"/>
      <c r="CH492" s="323"/>
      <c r="CI492" s="323"/>
      <c r="CJ492" s="323"/>
      <c r="CK492" s="323"/>
      <c r="CL492" s="323"/>
      <c r="CM492" s="323"/>
      <c r="CN492" s="323"/>
      <c r="CO492" s="323"/>
      <c r="CP492" s="449"/>
      <c r="CQ492" s="450"/>
      <c r="CR492" s="323"/>
      <c r="CS492" s="323"/>
      <c r="CT492" s="323"/>
      <c r="CU492" s="323"/>
      <c r="CV492" s="323"/>
      <c r="CW492" s="323"/>
      <c r="CX492" s="323"/>
      <c r="CY492" s="323"/>
      <c r="CZ492" s="323"/>
    </row>
    <row r="493" spans="1:222" ht="13.5" customHeight="1" x14ac:dyDescent="0.35">
      <c r="N493" s="218"/>
      <c r="P493" s="216"/>
      <c r="R493" s="217"/>
      <c r="T493" s="173"/>
      <c r="U493" s="251"/>
      <c r="V493" s="251"/>
      <c r="W493" s="323"/>
      <c r="X493" s="323"/>
      <c r="Y493" s="323"/>
      <c r="Z493" s="323"/>
      <c r="AA493" s="323"/>
      <c r="AB493" s="323"/>
      <c r="AC493" s="323"/>
      <c r="AD493" s="323"/>
      <c r="AE493" s="323"/>
      <c r="AF493" s="323"/>
      <c r="AG493" s="323"/>
      <c r="AH493" s="323"/>
      <c r="AI493" s="323"/>
      <c r="AJ493" s="323"/>
      <c r="AK493" s="323"/>
      <c r="AL493" s="323"/>
      <c r="AM493" s="323"/>
      <c r="AN493" s="323"/>
      <c r="AO493" s="323"/>
      <c r="AP493" s="323"/>
      <c r="AQ493" s="323"/>
      <c r="AR493" s="323"/>
      <c r="AS493" s="323"/>
      <c r="AT493" s="323"/>
      <c r="AU493" s="323"/>
      <c r="AV493" s="323"/>
      <c r="AW493" s="323"/>
      <c r="AX493" s="323"/>
      <c r="AY493" s="323"/>
      <c r="AZ493" s="323"/>
      <c r="BA493" s="323"/>
      <c r="BB493" s="323"/>
      <c r="BC493" s="323"/>
      <c r="BD493" s="323"/>
      <c r="BE493" s="323"/>
      <c r="BF493" s="323"/>
      <c r="BG493" s="323"/>
      <c r="BH493" s="323"/>
      <c r="BI493" s="323"/>
      <c r="BJ493" s="323"/>
      <c r="BK493" s="323"/>
      <c r="BL493" s="323"/>
      <c r="BM493" s="323"/>
      <c r="BN493" s="323"/>
      <c r="BO493" s="323"/>
      <c r="BP493" s="323"/>
      <c r="BQ493" s="323"/>
      <c r="BR493" s="323"/>
      <c r="BS493" s="323"/>
      <c r="BT493" s="323"/>
      <c r="BU493" s="323"/>
      <c r="BV493" s="323"/>
      <c r="BW493" s="323"/>
      <c r="BX493" s="323"/>
      <c r="BY493" s="323"/>
      <c r="BZ493" s="323"/>
      <c r="CA493" s="323"/>
      <c r="CB493" s="323"/>
      <c r="CC493" s="323"/>
      <c r="CD493" s="323"/>
      <c r="CE493" s="323"/>
      <c r="CF493" s="323"/>
      <c r="CG493" s="323"/>
      <c r="CH493" s="323"/>
      <c r="CI493" s="323"/>
      <c r="CJ493" s="323"/>
      <c r="CK493" s="323"/>
      <c r="CL493" s="323"/>
      <c r="CM493" s="323"/>
      <c r="CN493" s="323"/>
      <c r="CO493" s="323"/>
      <c r="CP493" s="439"/>
      <c r="CQ493" s="440"/>
      <c r="CR493" s="323"/>
      <c r="CS493" s="323"/>
      <c r="CT493" s="323"/>
      <c r="CU493" s="323"/>
      <c r="CV493" s="323"/>
      <c r="CW493" s="323"/>
      <c r="CX493" s="323"/>
      <c r="CY493" s="323"/>
      <c r="CZ493" s="323"/>
    </row>
    <row r="494" spans="1:222" ht="20.5" customHeight="1" thickBot="1" x14ac:dyDescent="0.4">
      <c r="Q494" s="217"/>
      <c r="R494" s="174"/>
      <c r="T494" s="173"/>
      <c r="U494" s="251"/>
      <c r="V494" s="251"/>
      <c r="W494" s="252"/>
      <c r="X494" s="252"/>
      <c r="AD494" s="458"/>
      <c r="AE494" s="458"/>
      <c r="AF494" s="252"/>
      <c r="AG494" s="324"/>
      <c r="AH494" s="324"/>
      <c r="AJ494" s="324"/>
      <c r="AL494" s="324"/>
      <c r="AN494" s="251"/>
      <c r="AO494" s="251"/>
      <c r="AP494" s="251"/>
      <c r="AQ494" s="251"/>
      <c r="AR494" s="251"/>
      <c r="AS494" s="251"/>
      <c r="AT494" s="251"/>
      <c r="AU494" s="251"/>
      <c r="FV494" s="173"/>
      <c r="FW494" s="173"/>
      <c r="FX494" s="173"/>
      <c r="FY494" s="173"/>
      <c r="FZ494" s="173"/>
      <c r="GA494" s="173"/>
      <c r="GB494" s="173"/>
      <c r="GC494" s="173"/>
      <c r="GD494" s="173"/>
      <c r="GE494" s="173"/>
      <c r="GF494" s="173"/>
      <c r="GG494" s="173"/>
      <c r="GH494" s="173"/>
      <c r="GI494" s="173"/>
      <c r="GJ494" s="173"/>
      <c r="GK494" s="173"/>
      <c r="GL494" s="173"/>
      <c r="GM494" s="173"/>
      <c r="GN494" s="173"/>
      <c r="GO494" s="173"/>
      <c r="GP494" s="173"/>
      <c r="GQ494" s="173"/>
      <c r="GR494" s="173"/>
      <c r="GS494" s="173"/>
      <c r="GT494" s="173"/>
      <c r="GU494" s="173"/>
      <c r="GV494" s="173"/>
      <c r="GW494" s="173"/>
      <c r="GX494" s="173"/>
      <c r="GY494" s="173"/>
      <c r="GZ494" s="173"/>
      <c r="HA494" s="173"/>
      <c r="HB494" s="173"/>
      <c r="HC494" s="173"/>
      <c r="HD494" s="173"/>
      <c r="HE494" s="173"/>
      <c r="HF494" s="173"/>
      <c r="HG494" s="173"/>
      <c r="HH494" s="173"/>
      <c r="HI494" s="173"/>
      <c r="HJ494" s="173"/>
      <c r="HK494" s="173"/>
      <c r="HL494" s="173"/>
      <c r="HM494" s="173"/>
      <c r="HN494" s="173"/>
    </row>
    <row r="495" spans="1:222" ht="38.5" customHeight="1" x14ac:dyDescent="0.7">
      <c r="B495" s="484" t="s">
        <v>1026</v>
      </c>
      <c r="C495" s="481"/>
      <c r="D495" s="483"/>
      <c r="E495" s="481"/>
      <c r="F495" s="481"/>
      <c r="G495" s="481"/>
      <c r="H495" s="483"/>
      <c r="I495" s="481"/>
      <c r="J495" s="481"/>
      <c r="K495" s="481"/>
      <c r="L495" s="481"/>
      <c r="M495" s="481"/>
      <c r="N495" s="481"/>
      <c r="O495" s="481"/>
      <c r="P495" s="481"/>
      <c r="Q495" s="481"/>
      <c r="R495" s="481"/>
      <c r="S495" s="482"/>
      <c r="T495" s="173"/>
      <c r="U495" s="251"/>
      <c r="V495" s="251"/>
      <c r="W495" s="252"/>
      <c r="X495" s="252"/>
      <c r="AD495" s="458"/>
      <c r="AE495" s="458"/>
      <c r="AF495" s="252"/>
      <c r="AG495" s="324"/>
      <c r="AH495" s="324"/>
      <c r="AJ495" s="324"/>
      <c r="AL495" s="324"/>
      <c r="AN495" s="251"/>
      <c r="AO495" s="251"/>
      <c r="AP495" s="251"/>
      <c r="AQ495" s="251"/>
      <c r="AR495" s="251"/>
      <c r="AS495" s="251"/>
      <c r="AT495" s="251"/>
      <c r="AU495" s="251"/>
      <c r="FV495" s="173"/>
      <c r="FW495" s="173"/>
      <c r="FX495" s="173"/>
      <c r="FY495" s="173"/>
      <c r="FZ495" s="173"/>
      <c r="GA495" s="173"/>
      <c r="GB495" s="173"/>
      <c r="GC495" s="173"/>
      <c r="GD495" s="173"/>
      <c r="GE495" s="173"/>
      <c r="GF495" s="173"/>
      <c r="GG495" s="173"/>
      <c r="GH495" s="173"/>
      <c r="GI495" s="173"/>
      <c r="GJ495" s="173"/>
      <c r="GK495" s="173"/>
      <c r="GL495" s="173"/>
      <c r="GM495" s="173"/>
      <c r="GN495" s="173"/>
      <c r="GO495" s="173"/>
      <c r="GP495" s="173"/>
      <c r="GQ495" s="173"/>
      <c r="GR495" s="173"/>
      <c r="GS495" s="173"/>
      <c r="GT495" s="173"/>
      <c r="GU495" s="173"/>
      <c r="GV495" s="173"/>
      <c r="GW495" s="173"/>
      <c r="GX495" s="173"/>
      <c r="GY495" s="173"/>
      <c r="GZ495" s="173"/>
      <c r="HA495" s="173"/>
      <c r="HB495" s="173"/>
      <c r="HC495" s="173"/>
      <c r="HD495" s="173"/>
      <c r="HE495" s="173"/>
      <c r="HF495" s="173"/>
      <c r="HG495" s="173"/>
      <c r="HH495" s="173"/>
      <c r="HI495" s="173"/>
      <c r="HJ495" s="173"/>
      <c r="HK495" s="173"/>
      <c r="HL495" s="173"/>
      <c r="HM495" s="173"/>
      <c r="HN495" s="173"/>
    </row>
    <row r="496" spans="1:222" ht="27.5" customHeight="1" x14ac:dyDescent="0.35">
      <c r="B496" s="413"/>
      <c r="C496" s="175"/>
      <c r="D496" s="175"/>
      <c r="E496" s="175"/>
      <c r="F496" s="175"/>
      <c r="G496" s="175"/>
      <c r="H496" s="175"/>
      <c r="I496" s="175"/>
      <c r="J496" s="175"/>
      <c r="K496" s="175"/>
      <c r="L496" s="175"/>
      <c r="M496" s="175"/>
      <c r="N496" s="175"/>
      <c r="O496" s="175"/>
      <c r="P496" s="175"/>
      <c r="Q496" s="175"/>
      <c r="R496" s="175"/>
      <c r="S496" s="414"/>
      <c r="T496" s="173"/>
      <c r="U496" s="251"/>
      <c r="V496" s="251"/>
      <c r="W496" s="252"/>
      <c r="X496" s="252"/>
      <c r="AD496" s="458"/>
      <c r="AE496" s="458"/>
      <c r="AF496" s="252"/>
      <c r="AG496" s="324"/>
      <c r="AH496" s="324"/>
      <c r="AJ496" s="324"/>
      <c r="AL496" s="324"/>
      <c r="AN496" s="251"/>
      <c r="AO496" s="251"/>
      <c r="AP496" s="251"/>
      <c r="AQ496" s="251"/>
      <c r="AR496" s="251"/>
      <c r="AS496" s="251"/>
      <c r="AT496" s="251"/>
      <c r="AU496" s="251"/>
      <c r="FV496" s="173"/>
      <c r="FW496" s="173"/>
      <c r="FX496" s="173"/>
      <c r="FY496" s="173"/>
      <c r="FZ496" s="173"/>
      <c r="GA496" s="173"/>
      <c r="GB496" s="173"/>
      <c r="GC496" s="173"/>
      <c r="GD496" s="173"/>
      <c r="GE496" s="173"/>
      <c r="GF496" s="173"/>
      <c r="GG496" s="173"/>
      <c r="GH496" s="173"/>
      <c r="GI496" s="173"/>
      <c r="GJ496" s="173"/>
      <c r="GK496" s="173"/>
      <c r="GL496" s="173"/>
      <c r="GM496" s="173"/>
      <c r="GN496" s="173"/>
      <c r="GO496" s="173"/>
      <c r="GP496" s="173"/>
      <c r="GQ496" s="173"/>
      <c r="GR496" s="173"/>
      <c r="GS496" s="173"/>
      <c r="GT496" s="173"/>
      <c r="GU496" s="173"/>
      <c r="GV496" s="173"/>
      <c r="GW496" s="173"/>
      <c r="GX496" s="173"/>
      <c r="GY496" s="173"/>
      <c r="GZ496" s="173"/>
      <c r="HA496" s="173"/>
      <c r="HB496" s="173"/>
      <c r="HC496" s="173"/>
      <c r="HD496" s="173"/>
      <c r="HE496" s="173"/>
      <c r="HF496" s="173"/>
      <c r="HG496" s="173"/>
      <c r="HH496" s="173"/>
      <c r="HI496" s="173"/>
      <c r="HJ496" s="173"/>
      <c r="HK496" s="173"/>
      <c r="HL496" s="173"/>
      <c r="HM496" s="173"/>
      <c r="HN496" s="173"/>
    </row>
    <row r="497" spans="2:222" ht="27.5" customHeight="1" x14ac:dyDescent="0.35">
      <c r="B497" s="242"/>
      <c r="L497" s="218"/>
      <c r="N497" s="216"/>
      <c r="O497" s="216"/>
      <c r="R497" s="217"/>
      <c r="S497" s="183"/>
      <c r="T497" s="173"/>
      <c r="U497" s="251"/>
      <c r="V497" s="251"/>
      <c r="W497" s="252"/>
      <c r="X497" s="252"/>
      <c r="AD497" s="458"/>
      <c r="AE497" s="458"/>
      <c r="AF497" s="252"/>
      <c r="AG497" s="324"/>
      <c r="AH497" s="324"/>
      <c r="AJ497" s="324"/>
      <c r="AL497" s="324"/>
      <c r="AN497" s="251"/>
      <c r="AO497" s="251"/>
      <c r="AP497" s="251"/>
      <c r="AQ497" s="251"/>
      <c r="AR497" s="251"/>
      <c r="AS497" s="251"/>
      <c r="AT497" s="251"/>
      <c r="AU497" s="251"/>
      <c r="FV497" s="173"/>
      <c r="FW497" s="173"/>
      <c r="FX497" s="173"/>
      <c r="FY497" s="173"/>
      <c r="FZ497" s="173"/>
      <c r="GA497" s="173"/>
      <c r="GB497" s="173"/>
      <c r="GC497" s="173"/>
      <c r="GD497" s="173"/>
      <c r="GE497" s="173"/>
      <c r="GF497" s="173"/>
      <c r="GG497" s="173"/>
      <c r="GH497" s="173"/>
      <c r="GI497" s="173"/>
      <c r="GJ497" s="173"/>
      <c r="GK497" s="173"/>
      <c r="GL497" s="173"/>
      <c r="GM497" s="173"/>
      <c r="GN497" s="173"/>
      <c r="GO497" s="173"/>
      <c r="GP497" s="173"/>
      <c r="GQ497" s="173"/>
      <c r="GR497" s="173"/>
      <c r="GS497" s="173"/>
      <c r="GT497" s="173"/>
      <c r="GU497" s="173"/>
      <c r="GV497" s="173"/>
      <c r="GW497" s="173"/>
      <c r="GX497" s="173"/>
      <c r="GY497" s="173"/>
      <c r="GZ497" s="173"/>
      <c r="HA497" s="173"/>
      <c r="HB497" s="173"/>
      <c r="HC497" s="173"/>
      <c r="HD497" s="173"/>
      <c r="HE497" s="173"/>
      <c r="HF497" s="173"/>
      <c r="HG497" s="173"/>
      <c r="HH497" s="173"/>
      <c r="HI497" s="173"/>
      <c r="HJ497" s="173"/>
      <c r="HK497" s="173"/>
      <c r="HL497" s="173"/>
      <c r="HM497" s="173"/>
      <c r="HN497" s="173"/>
    </row>
    <row r="498" spans="2:222" ht="27.5" customHeight="1" x14ac:dyDescent="0.35">
      <c r="B498" s="242"/>
      <c r="S498" s="227"/>
      <c r="T498" s="173"/>
      <c r="U498" s="251"/>
      <c r="V498" s="251"/>
      <c r="W498" s="252"/>
      <c r="X498" s="252"/>
      <c r="Y498" s="815"/>
      <c r="Z498" s="815"/>
      <c r="AA498" s="815"/>
      <c r="AB498" s="815"/>
      <c r="AC498" s="815"/>
      <c r="AD498" s="816"/>
      <c r="AE498" s="816"/>
      <c r="AF498" s="815"/>
      <c r="AG498" s="817"/>
      <c r="AH498" s="817"/>
      <c r="AJ498" s="324"/>
      <c r="AL498" s="324"/>
      <c r="AN498" s="251"/>
      <c r="AO498" s="251"/>
      <c r="AP498" s="251"/>
      <c r="AQ498" s="251"/>
      <c r="AR498" s="251"/>
      <c r="AS498" s="251"/>
      <c r="AT498" s="251"/>
      <c r="AU498" s="251"/>
      <c r="FV498" s="173"/>
      <c r="FW498" s="173"/>
      <c r="FX498" s="173"/>
      <c r="FY498" s="173"/>
      <c r="FZ498" s="173"/>
      <c r="GA498" s="173"/>
      <c r="GB498" s="173"/>
      <c r="GC498" s="173"/>
      <c r="GD498" s="173"/>
      <c r="GE498" s="173"/>
      <c r="GF498" s="173"/>
      <c r="GG498" s="173"/>
      <c r="GH498" s="173"/>
      <c r="GI498" s="173"/>
      <c r="GJ498" s="173"/>
      <c r="GK498" s="173"/>
      <c r="GL498" s="173"/>
      <c r="GM498" s="173"/>
      <c r="GN498" s="173"/>
      <c r="GO498" s="173"/>
      <c r="GP498" s="173"/>
      <c r="GQ498" s="173"/>
      <c r="GR498" s="173"/>
      <c r="GS498" s="173"/>
      <c r="GT498" s="173"/>
      <c r="GU498" s="173"/>
      <c r="GV498" s="173"/>
      <c r="GW498" s="173"/>
      <c r="GX498" s="173"/>
      <c r="GY498" s="173"/>
      <c r="GZ498" s="173"/>
      <c r="HA498" s="173"/>
      <c r="HB498" s="173"/>
      <c r="HC498" s="173"/>
      <c r="HD498" s="173"/>
      <c r="HE498" s="173"/>
      <c r="HF498" s="173"/>
      <c r="HG498" s="173"/>
      <c r="HH498" s="173"/>
      <c r="HI498" s="173"/>
      <c r="HJ498" s="173"/>
      <c r="HK498" s="173"/>
      <c r="HL498" s="173"/>
      <c r="HM498" s="173"/>
      <c r="HN498" s="173"/>
    </row>
    <row r="499" spans="2:222" ht="27.5" customHeight="1" x14ac:dyDescent="0.35">
      <c r="B499" s="242"/>
      <c r="S499" s="227"/>
      <c r="T499" s="173"/>
      <c r="U499" s="251"/>
      <c r="V499" s="251"/>
      <c r="W499" s="252"/>
      <c r="X499" s="252"/>
      <c r="AD499" s="458"/>
      <c r="AE499" s="458"/>
      <c r="AF499" s="252"/>
      <c r="AG499" s="324"/>
      <c r="AH499" s="324"/>
      <c r="AJ499" s="324"/>
      <c r="AL499" s="324"/>
      <c r="AN499" s="251"/>
      <c r="AO499" s="251"/>
      <c r="AP499" s="251"/>
      <c r="AQ499" s="251"/>
      <c r="AR499" s="251"/>
      <c r="AS499" s="251"/>
      <c r="AT499" s="251"/>
      <c r="AU499" s="251"/>
      <c r="FV499" s="173"/>
      <c r="FW499" s="173"/>
      <c r="FX499" s="173"/>
      <c r="FY499" s="173"/>
      <c r="FZ499" s="173"/>
      <c r="GA499" s="173"/>
      <c r="GB499" s="173"/>
      <c r="GC499" s="173"/>
      <c r="GD499" s="173"/>
      <c r="GE499" s="173"/>
      <c r="GF499" s="173"/>
      <c r="GG499" s="173"/>
      <c r="GH499" s="173"/>
      <c r="GI499" s="173"/>
      <c r="GJ499" s="173"/>
      <c r="GK499" s="173"/>
      <c r="GL499" s="173"/>
      <c r="GM499" s="173"/>
      <c r="GN499" s="173"/>
      <c r="GO499" s="173"/>
      <c r="GP499" s="173"/>
      <c r="GQ499" s="173"/>
      <c r="GR499" s="173"/>
      <c r="GS499" s="173"/>
      <c r="GT499" s="173"/>
      <c r="GU499" s="173"/>
      <c r="GV499" s="173"/>
      <c r="GW499" s="173"/>
      <c r="GX499" s="173"/>
      <c r="GY499" s="173"/>
      <c r="GZ499" s="173"/>
      <c r="HA499" s="173"/>
      <c r="HB499" s="173"/>
      <c r="HC499" s="173"/>
      <c r="HD499" s="173"/>
      <c r="HE499" s="173"/>
      <c r="HF499" s="173"/>
      <c r="HG499" s="173"/>
      <c r="HH499" s="173"/>
      <c r="HI499" s="173"/>
      <c r="HJ499" s="173"/>
      <c r="HK499" s="173"/>
      <c r="HL499" s="173"/>
      <c r="HM499" s="173"/>
      <c r="HN499" s="173"/>
    </row>
    <row r="500" spans="2:222" ht="27.5" customHeight="1" x14ac:dyDescent="0.35">
      <c r="B500" s="242"/>
      <c r="S500" s="227"/>
      <c r="T500" s="173"/>
      <c r="U500" s="251"/>
      <c r="V500" s="251"/>
      <c r="W500" s="252"/>
      <c r="X500" s="252"/>
      <c r="AD500" s="458"/>
      <c r="AE500" s="458"/>
      <c r="AF500" s="252"/>
      <c r="AG500" s="324"/>
      <c r="AH500" s="324"/>
      <c r="AJ500" s="324"/>
      <c r="AL500" s="324"/>
      <c r="AP500" s="251"/>
      <c r="AQ500" s="251"/>
      <c r="AR500" s="251"/>
      <c r="AS500" s="251"/>
      <c r="AT500" s="251"/>
      <c r="AU500" s="251"/>
      <c r="FV500" s="173"/>
      <c r="FW500" s="173"/>
      <c r="FX500" s="173"/>
      <c r="FY500" s="173"/>
      <c r="FZ500" s="173"/>
      <c r="GA500" s="173"/>
      <c r="GB500" s="173"/>
      <c r="GC500" s="173"/>
      <c r="GD500" s="173"/>
      <c r="GE500" s="173"/>
      <c r="GF500" s="173"/>
      <c r="GG500" s="173"/>
      <c r="GH500" s="173"/>
      <c r="GI500" s="173"/>
      <c r="GJ500" s="173"/>
      <c r="GK500" s="173"/>
      <c r="GL500" s="173"/>
      <c r="GM500" s="173"/>
      <c r="GN500" s="173"/>
      <c r="GO500" s="173"/>
      <c r="GP500" s="173"/>
      <c r="GQ500" s="173"/>
      <c r="GR500" s="173"/>
      <c r="GS500" s="173"/>
      <c r="GT500" s="173"/>
      <c r="GU500" s="173"/>
      <c r="GV500" s="173"/>
      <c r="GW500" s="173"/>
      <c r="GX500" s="173"/>
      <c r="GY500" s="173"/>
      <c r="GZ500" s="173"/>
      <c r="HA500" s="173"/>
      <c r="HB500" s="173"/>
      <c r="HC500" s="173"/>
      <c r="HD500" s="173"/>
      <c r="HE500" s="173"/>
      <c r="HF500" s="173"/>
      <c r="HG500" s="173"/>
      <c r="HH500" s="173"/>
      <c r="HI500" s="173"/>
      <c r="HJ500" s="173"/>
      <c r="HK500" s="173"/>
      <c r="HL500" s="173"/>
      <c r="HM500" s="173"/>
      <c r="HN500" s="173"/>
    </row>
    <row r="501" spans="2:222" ht="27.5" customHeight="1" x14ac:dyDescent="0.35">
      <c r="B501" s="242"/>
      <c r="S501" s="227"/>
      <c r="T501" s="173"/>
      <c r="U501" s="251"/>
      <c r="V501" s="251"/>
      <c r="W501" s="252"/>
      <c r="X501" s="252"/>
      <c r="AD501" s="458"/>
      <c r="AE501" s="458"/>
      <c r="AF501" s="252"/>
      <c r="AG501" s="324"/>
      <c r="AH501" s="324"/>
      <c r="AJ501" s="324"/>
      <c r="AL501" s="324"/>
      <c r="AN501" s="323" t="s">
        <v>864</v>
      </c>
      <c r="AO501" s="323" t="s">
        <v>4</v>
      </c>
      <c r="AP501" s="251">
        <f>AN507</f>
        <v>0</v>
      </c>
      <c r="AQ501" s="251"/>
      <c r="AR501" s="251"/>
      <c r="AS501" s="251"/>
      <c r="AT501" s="251"/>
      <c r="AU501" s="251"/>
      <c r="FV501" s="173"/>
      <c r="FW501" s="173"/>
      <c r="FX501" s="173"/>
      <c r="FY501" s="173"/>
      <c r="FZ501" s="173"/>
      <c r="GA501" s="173"/>
      <c r="GB501" s="173"/>
      <c r="GC501" s="173"/>
      <c r="GD501" s="173"/>
      <c r="GE501" s="173"/>
      <c r="GF501" s="173"/>
      <c r="GG501" s="173"/>
      <c r="GH501" s="173"/>
      <c r="GI501" s="173"/>
      <c r="GJ501" s="173"/>
      <c r="GK501" s="173"/>
      <c r="GL501" s="173"/>
      <c r="GM501" s="173"/>
      <c r="GN501" s="173"/>
      <c r="GO501" s="173"/>
      <c r="GP501" s="173"/>
      <c r="GQ501" s="173"/>
      <c r="GR501" s="173"/>
      <c r="GS501" s="173"/>
      <c r="GT501" s="173"/>
      <c r="GU501" s="173"/>
      <c r="GV501" s="173"/>
      <c r="GW501" s="173"/>
      <c r="GX501" s="173"/>
      <c r="GY501" s="173"/>
      <c r="GZ501" s="173"/>
      <c r="HA501" s="173"/>
      <c r="HB501" s="173"/>
      <c r="HC501" s="173"/>
      <c r="HD501" s="173"/>
      <c r="HE501" s="173"/>
      <c r="HF501" s="173"/>
      <c r="HG501" s="173"/>
      <c r="HH501" s="173"/>
      <c r="HI501" s="173"/>
      <c r="HJ501" s="173"/>
      <c r="HK501" s="173"/>
      <c r="HL501" s="173"/>
      <c r="HM501" s="173"/>
      <c r="HN501" s="173"/>
    </row>
    <row r="502" spans="2:222" ht="27.5" customHeight="1" x14ac:dyDescent="0.35">
      <c r="B502" s="242"/>
      <c r="S502" s="227"/>
      <c r="T502" s="173"/>
      <c r="U502" s="251"/>
      <c r="V502" s="251"/>
      <c r="W502" s="451" t="s">
        <v>87</v>
      </c>
      <c r="X502" s="643" t="s">
        <v>88</v>
      </c>
      <c r="AD502" s="458"/>
      <c r="AE502" s="458"/>
      <c r="AF502" s="252"/>
      <c r="AG502" s="324"/>
      <c r="AH502" s="324"/>
      <c r="AJ502" s="324"/>
      <c r="AL502" s="324"/>
      <c r="AN502" s="323" t="s">
        <v>865</v>
      </c>
      <c r="AO502" s="323" t="s">
        <v>5</v>
      </c>
      <c r="AP502" s="251"/>
      <c r="AQ502" s="251">
        <f>AO507</f>
        <v>0</v>
      </c>
      <c r="AR502" s="251"/>
      <c r="AS502" s="251"/>
      <c r="AT502" s="251"/>
      <c r="AU502" s="251"/>
      <c r="FV502" s="173"/>
      <c r="FW502" s="173"/>
      <c r="FX502" s="173"/>
      <c r="FY502" s="173"/>
      <c r="FZ502" s="173"/>
      <c r="GA502" s="173"/>
      <c r="GB502" s="173"/>
      <c r="GC502" s="173"/>
      <c r="GD502" s="173"/>
      <c r="GE502" s="173"/>
      <c r="GF502" s="173"/>
      <c r="GG502" s="173"/>
      <c r="GH502" s="173"/>
      <c r="GI502" s="173"/>
      <c r="GJ502" s="173"/>
      <c r="GK502" s="173"/>
      <c r="GL502" s="173"/>
      <c r="GM502" s="173"/>
      <c r="GN502" s="173"/>
      <c r="GO502" s="173"/>
      <c r="GP502" s="173"/>
      <c r="GQ502" s="173"/>
      <c r="GR502" s="173"/>
      <c r="GS502" s="173"/>
      <c r="GT502" s="173"/>
      <c r="GU502" s="173"/>
      <c r="GV502" s="173"/>
      <c r="GW502" s="173"/>
      <c r="GX502" s="173"/>
      <c r="GY502" s="173"/>
      <c r="GZ502" s="173"/>
      <c r="HA502" s="173"/>
      <c r="HB502" s="173"/>
      <c r="HC502" s="173"/>
      <c r="HD502" s="173"/>
      <c r="HE502" s="173"/>
      <c r="HF502" s="173"/>
      <c r="HG502" s="173"/>
      <c r="HH502" s="173"/>
      <c r="HI502" s="173"/>
      <c r="HJ502" s="173"/>
      <c r="HK502" s="173"/>
      <c r="HL502" s="173"/>
      <c r="HM502" s="173"/>
      <c r="HN502" s="173"/>
    </row>
    <row r="503" spans="2:222" ht="27.5" customHeight="1" thickBot="1" x14ac:dyDescent="0.4">
      <c r="B503" s="408"/>
      <c r="C503" s="187"/>
      <c r="D503" s="187"/>
      <c r="E503" s="187"/>
      <c r="F503" s="187"/>
      <c r="G503" s="187"/>
      <c r="H503" s="187"/>
      <c r="I503" s="187"/>
      <c r="J503" s="187"/>
      <c r="K503" s="187"/>
      <c r="L503" s="187"/>
      <c r="M503" s="187"/>
      <c r="N503" s="187"/>
      <c r="O503" s="187"/>
      <c r="P503" s="187"/>
      <c r="Q503" s="187"/>
      <c r="R503" s="187"/>
      <c r="S503" s="387"/>
      <c r="T503" s="173"/>
      <c r="U503" s="251"/>
      <c r="V503" s="251"/>
      <c r="W503" s="324"/>
      <c r="X503" s="324"/>
      <c r="AD503" s="458"/>
      <c r="AE503" s="458"/>
      <c r="AF503" s="252"/>
      <c r="AG503" s="324"/>
      <c r="AH503" s="324"/>
      <c r="AJ503" s="324"/>
      <c r="AL503" s="324"/>
      <c r="AN503" s="323"/>
      <c r="AO503" s="323"/>
      <c r="AP503" s="251"/>
      <c r="AQ503" s="251"/>
      <c r="AR503" s="251"/>
      <c r="AS503" s="251"/>
      <c r="AT503" s="251"/>
      <c r="AU503" s="251"/>
      <c r="FV503" s="173"/>
      <c r="FW503" s="173"/>
      <c r="FX503" s="173"/>
      <c r="FY503" s="173"/>
      <c r="FZ503" s="173"/>
      <c r="GA503" s="173"/>
      <c r="GB503" s="173"/>
      <c r="GC503" s="173"/>
      <c r="GD503" s="173"/>
      <c r="GE503" s="173"/>
      <c r="GF503" s="173"/>
      <c r="GG503" s="173"/>
      <c r="GH503" s="173"/>
      <c r="GI503" s="173"/>
      <c r="GJ503" s="173"/>
      <c r="GK503" s="173"/>
      <c r="GL503" s="173"/>
      <c r="GM503" s="173"/>
      <c r="GN503" s="173"/>
      <c r="GO503" s="173"/>
      <c r="GP503" s="173"/>
      <c r="GQ503" s="173"/>
      <c r="GR503" s="173"/>
      <c r="GS503" s="173"/>
      <c r="GT503" s="173"/>
      <c r="GU503" s="173"/>
      <c r="GV503" s="173"/>
      <c r="GW503" s="173"/>
      <c r="GX503" s="173"/>
      <c r="GY503" s="173"/>
      <c r="GZ503" s="173"/>
      <c r="HA503" s="173"/>
      <c r="HB503" s="173"/>
      <c r="HC503" s="173"/>
      <c r="HD503" s="173"/>
      <c r="HE503" s="173"/>
      <c r="HF503" s="173"/>
      <c r="HG503" s="173"/>
      <c r="HH503" s="173"/>
      <c r="HI503" s="173"/>
      <c r="HJ503" s="173"/>
      <c r="HK503" s="173"/>
      <c r="HL503" s="173"/>
      <c r="HM503" s="173"/>
      <c r="HN503" s="173"/>
    </row>
    <row r="504" spans="2:222" ht="11" customHeight="1" thickBot="1" x14ac:dyDescent="0.4">
      <c r="Q504" s="217"/>
      <c r="R504" s="174"/>
      <c r="T504" s="173"/>
      <c r="U504" s="251"/>
      <c r="V504" s="251"/>
      <c r="W504" s="644">
        <f>IF(F509="Etableres ikke",0,((VLOOKUP(B509&amp;"_"&amp;F509,'LCA data'!$B$7:$X$360,8,0)))*(H511+1))*C509</f>
        <v>0</v>
      </c>
      <c r="X504" s="645">
        <f>IF(K509="Etableres ikke",0,((VLOOKUP(B509&amp;"_"&amp;K509,'LCA data'!$B$7:$X$360,8,0)))*(M511+1))*C509</f>
        <v>0</v>
      </c>
      <c r="AD504" s="458"/>
      <c r="AE504" s="458"/>
      <c r="AF504" s="252"/>
      <c r="AG504" s="324"/>
      <c r="AH504" s="324"/>
      <c r="AJ504" s="324"/>
      <c r="AL504" s="324"/>
      <c r="AN504" s="323"/>
      <c r="AO504" s="323"/>
      <c r="AP504" s="251"/>
      <c r="AQ504" s="251"/>
      <c r="AR504" s="251"/>
      <c r="AS504" s="251"/>
      <c r="AT504" s="251"/>
      <c r="AU504" s="251"/>
      <c r="FV504" s="173"/>
      <c r="FW504" s="173"/>
      <c r="FX504" s="173"/>
      <c r="FY504" s="173"/>
      <c r="FZ504" s="173"/>
      <c r="GA504" s="173"/>
      <c r="GB504" s="173"/>
      <c r="GC504" s="173"/>
      <c r="GD504" s="173"/>
      <c r="GE504" s="173"/>
      <c r="GF504" s="173"/>
      <c r="GG504" s="173"/>
      <c r="GH504" s="173"/>
      <c r="GI504" s="173"/>
      <c r="GJ504" s="173"/>
      <c r="GK504" s="173"/>
      <c r="GL504" s="173"/>
      <c r="GM504" s="173"/>
      <c r="GN504" s="173"/>
      <c r="GO504" s="173"/>
      <c r="GP504" s="173"/>
      <c r="GQ504" s="173"/>
      <c r="GR504" s="173"/>
      <c r="GS504" s="173"/>
      <c r="GT504" s="173"/>
      <c r="GU504" s="173"/>
      <c r="GV504" s="173"/>
      <c r="GW504" s="173"/>
      <c r="GX504" s="173"/>
      <c r="GY504" s="173"/>
      <c r="GZ504" s="173"/>
      <c r="HA504" s="173"/>
      <c r="HB504" s="173"/>
      <c r="HC504" s="173"/>
      <c r="HD504" s="173"/>
      <c r="HE504" s="173"/>
      <c r="HF504" s="173"/>
      <c r="HG504" s="173"/>
      <c r="HH504" s="173"/>
      <c r="HI504" s="173"/>
      <c r="HJ504" s="173"/>
      <c r="HK504" s="173"/>
      <c r="HL504" s="173"/>
      <c r="HM504" s="173"/>
      <c r="HN504" s="173"/>
    </row>
    <row r="505" spans="2:222" ht="37.5" customHeight="1" thickBot="1" x14ac:dyDescent="0.75">
      <c r="B505" s="593" t="s">
        <v>112</v>
      </c>
      <c r="C505" s="594"/>
      <c r="D505" s="607"/>
      <c r="E505" s="594"/>
      <c r="F505" s="594"/>
      <c r="G505" s="594"/>
      <c r="H505" s="595"/>
      <c r="I505" s="500" t="str">
        <f>"Solceller"</f>
        <v>Solceller</v>
      </c>
      <c r="J505" s="594"/>
      <c r="K505" s="594"/>
      <c r="L505" s="594"/>
      <c r="M505" s="594"/>
      <c r="N505" s="594"/>
      <c r="O505" s="594"/>
      <c r="P505" s="596"/>
      <c r="Q505" s="597"/>
      <c r="R505" s="602"/>
      <c r="S505" s="603"/>
      <c r="U505" s="251"/>
      <c r="V505" s="251"/>
      <c r="W505" s="252"/>
      <c r="X505" s="252"/>
      <c r="AD505" s="458"/>
      <c r="AE505" s="458"/>
      <c r="AF505" s="252"/>
      <c r="AG505" s="324"/>
      <c r="AH505" s="324"/>
      <c r="AJ505" s="324"/>
      <c r="AL505" s="324"/>
      <c r="AN505" s="323" t="s">
        <v>846</v>
      </c>
      <c r="AO505" s="323"/>
      <c r="AP505" s="251"/>
      <c r="AQ505" s="251"/>
      <c r="AR505" s="251"/>
      <c r="AS505" s="251"/>
      <c r="AT505" s="251"/>
      <c r="AU505" s="251"/>
      <c r="FV505" s="173"/>
      <c r="FW505" s="173"/>
      <c r="FX505" s="173"/>
      <c r="FY505" s="173"/>
      <c r="FZ505" s="173"/>
      <c r="GA505" s="173"/>
      <c r="GB505" s="173"/>
      <c r="GC505" s="173"/>
      <c r="GD505" s="173"/>
      <c r="GE505" s="173"/>
      <c r="GF505" s="173"/>
      <c r="GG505" s="173"/>
      <c r="GH505" s="173"/>
      <c r="GI505" s="173"/>
      <c r="GJ505" s="173"/>
      <c r="GK505" s="173"/>
      <c r="GL505" s="173"/>
      <c r="GM505" s="173"/>
      <c r="GN505" s="173"/>
      <c r="GO505" s="173"/>
      <c r="GP505" s="173"/>
      <c r="GQ505" s="173"/>
      <c r="GR505" s="173"/>
      <c r="GS505" s="173"/>
      <c r="GT505" s="173"/>
      <c r="GU505" s="173"/>
      <c r="GV505" s="173"/>
      <c r="GW505" s="173"/>
      <c r="GX505" s="173"/>
      <c r="GY505" s="173"/>
      <c r="GZ505" s="173"/>
      <c r="HA505" s="173"/>
      <c r="HB505" s="173"/>
      <c r="HC505" s="173"/>
      <c r="HD505" s="173"/>
      <c r="HE505" s="173"/>
      <c r="HF505" s="173"/>
      <c r="HG505" s="173"/>
      <c r="HH505" s="173"/>
      <c r="HI505" s="173"/>
      <c r="HJ505" s="173"/>
      <c r="HK505" s="173"/>
      <c r="HL505" s="173"/>
      <c r="HM505" s="173"/>
      <c r="HN505" s="173"/>
    </row>
    <row r="506" spans="2:222" ht="26" customHeight="1" x14ac:dyDescent="0.35">
      <c r="B506" s="1020"/>
      <c r="C506" s="1021"/>
      <c r="D506" s="871" t="s">
        <v>4</v>
      </c>
      <c r="E506" s="872"/>
      <c r="F506" s="872"/>
      <c r="G506" s="872"/>
      <c r="H506" s="873"/>
      <c r="I506" s="874" t="s">
        <v>5</v>
      </c>
      <c r="J506" s="875"/>
      <c r="K506" s="875"/>
      <c r="L506" s="875"/>
      <c r="M506" s="876"/>
      <c r="N506" s="950" t="s">
        <v>1107</v>
      </c>
      <c r="O506" s="951"/>
      <c r="P506" s="951"/>
      <c r="Q506" s="952"/>
      <c r="R506" s="192"/>
      <c r="S506" s="196"/>
      <c r="U506" s="251"/>
      <c r="V506" s="251"/>
      <c r="W506" s="252"/>
      <c r="X506" s="252"/>
      <c r="AD506" s="458"/>
      <c r="AE506" s="458"/>
      <c r="AF506" s="252"/>
      <c r="AG506" s="324"/>
      <c r="AH506" s="324"/>
      <c r="AJ506" s="324"/>
      <c r="AL506" s="324"/>
      <c r="AN506" s="323" t="s">
        <v>4</v>
      </c>
      <c r="AO506" s="323" t="s">
        <v>5</v>
      </c>
      <c r="AP506" s="251"/>
      <c r="AQ506" s="251"/>
      <c r="AR506" s="251"/>
      <c r="AS506" s="251"/>
      <c r="AT506" s="251"/>
      <c r="AU506" s="251"/>
      <c r="FV506" s="173"/>
      <c r="FW506" s="173"/>
      <c r="FX506" s="173"/>
      <c r="FY506" s="173"/>
      <c r="FZ506" s="173"/>
      <c r="GA506" s="173"/>
      <c r="GB506" s="173"/>
      <c r="GC506" s="173"/>
      <c r="GD506" s="173"/>
      <c r="GE506" s="173"/>
      <c r="GF506" s="173"/>
      <c r="GG506" s="173"/>
      <c r="GH506" s="173"/>
      <c r="GI506" s="173"/>
      <c r="GJ506" s="173"/>
      <c r="GK506" s="173"/>
      <c r="GL506" s="173"/>
      <c r="GM506" s="173"/>
      <c r="GN506" s="173"/>
      <c r="GO506" s="173"/>
      <c r="GP506" s="173"/>
      <c r="GQ506" s="173"/>
      <c r="GR506" s="173"/>
      <c r="GS506" s="173"/>
      <c r="GT506" s="173"/>
      <c r="GU506" s="173"/>
      <c r="GV506" s="173"/>
      <c r="GW506" s="173"/>
      <c r="GX506" s="173"/>
      <c r="GY506" s="173"/>
      <c r="GZ506" s="173"/>
      <c r="HA506" s="173"/>
      <c r="HB506" s="173"/>
      <c r="HC506" s="173"/>
      <c r="HD506" s="173"/>
      <c r="HE506" s="173"/>
      <c r="HF506" s="173"/>
      <c r="HG506" s="173"/>
      <c r="HH506" s="173"/>
      <c r="HI506" s="173"/>
      <c r="HJ506" s="173"/>
      <c r="HK506" s="173"/>
      <c r="HL506" s="173"/>
      <c r="HM506" s="173"/>
      <c r="HN506" s="173"/>
    </row>
    <row r="507" spans="2:222" ht="26" customHeight="1" x14ac:dyDescent="0.35">
      <c r="B507" s="194"/>
      <c r="C507" s="195" t="s">
        <v>1054</v>
      </c>
      <c r="D507" s="920" t="s">
        <v>81</v>
      </c>
      <c r="E507" s="921"/>
      <c r="F507" s="566"/>
      <c r="G507" s="566"/>
      <c r="H507" s="346" t="s">
        <v>257</v>
      </c>
      <c r="I507" s="891" t="s">
        <v>81</v>
      </c>
      <c r="J507" s="892"/>
      <c r="K507" s="619"/>
      <c r="L507" s="627"/>
      <c r="M507" s="508" t="s">
        <v>257</v>
      </c>
      <c r="N507" s="416" t="s">
        <v>4</v>
      </c>
      <c r="O507" s="195" t="s">
        <v>85</v>
      </c>
      <c r="P507" s="195" t="s">
        <v>5</v>
      </c>
      <c r="Q507" s="357" t="s">
        <v>86</v>
      </c>
      <c r="R507" s="192"/>
      <c r="S507" s="196"/>
      <c r="U507" s="251"/>
      <c r="V507" s="251"/>
      <c r="W507" s="646" t="s">
        <v>1053</v>
      </c>
      <c r="X507" s="646" t="s">
        <v>1052</v>
      </c>
      <c r="AA507" s="323" t="s">
        <v>91</v>
      </c>
      <c r="AB507" s="323"/>
      <c r="AC507" s="323"/>
      <c r="AD507" s="323"/>
      <c r="AE507" s="323" t="s">
        <v>92</v>
      </c>
      <c r="AF507" s="323"/>
      <c r="AG507" s="323"/>
      <c r="AH507" s="324"/>
      <c r="AJ507" s="324"/>
      <c r="AL507" s="324"/>
      <c r="AN507" s="323">
        <f>SUM(AN509)</f>
        <v>0</v>
      </c>
      <c r="AO507" s="323">
        <f>SUM(AO509)</f>
        <v>0</v>
      </c>
      <c r="AP507" s="251"/>
      <c r="AQ507" s="251"/>
      <c r="AR507" s="251"/>
      <c r="AS507" s="251"/>
      <c r="AT507" s="251"/>
      <c r="AU507" s="251"/>
      <c r="FV507" s="173"/>
      <c r="FW507" s="173"/>
      <c r="FX507" s="173"/>
      <c r="FY507" s="173"/>
      <c r="FZ507" s="173"/>
      <c r="GA507" s="173"/>
      <c r="GB507" s="173"/>
      <c r="GC507" s="173"/>
      <c r="GD507" s="173"/>
      <c r="GE507" s="173"/>
      <c r="GF507" s="173"/>
      <c r="GG507" s="173"/>
      <c r="GH507" s="173"/>
      <c r="GI507" s="173"/>
      <c r="GJ507" s="173"/>
      <c r="GK507" s="173"/>
      <c r="GL507" s="173"/>
      <c r="GM507" s="173"/>
      <c r="GN507" s="173"/>
      <c r="GO507" s="173"/>
      <c r="GP507" s="173"/>
      <c r="GQ507" s="173"/>
      <c r="GR507" s="173"/>
      <c r="GS507" s="173"/>
      <c r="GT507" s="173"/>
      <c r="GU507" s="173"/>
      <c r="GV507" s="173"/>
      <c r="GW507" s="173"/>
      <c r="GX507" s="173"/>
      <c r="GY507" s="173"/>
      <c r="GZ507" s="173"/>
      <c r="HA507" s="173"/>
      <c r="HB507" s="173"/>
      <c r="HC507" s="173"/>
      <c r="HD507" s="173"/>
      <c r="HE507" s="173"/>
      <c r="HF507" s="173"/>
      <c r="HG507" s="173"/>
      <c r="HH507" s="173"/>
      <c r="HI507" s="173"/>
      <c r="HJ507" s="173"/>
      <c r="HK507" s="173"/>
      <c r="HL507" s="173"/>
      <c r="HM507" s="173"/>
      <c r="HN507" s="173"/>
    </row>
    <row r="508" spans="2:222" ht="26" customHeight="1" x14ac:dyDescent="0.35">
      <c r="B508" s="598"/>
      <c r="C508" s="599" t="s">
        <v>1029</v>
      </c>
      <c r="D508" s="1039"/>
      <c r="E508" s="1040"/>
      <c r="F508" s="1040"/>
      <c r="G508" s="1040"/>
      <c r="H508" s="349" t="s">
        <v>96</v>
      </c>
      <c r="I508" s="1034"/>
      <c r="J508" s="1035"/>
      <c r="K508" s="1035"/>
      <c r="L508" s="1035"/>
      <c r="M508" s="512" t="s">
        <v>96</v>
      </c>
      <c r="N508" s="417" t="s">
        <v>97</v>
      </c>
      <c r="O508" s="201" t="s">
        <v>97</v>
      </c>
      <c r="P508" s="201" t="s">
        <v>97</v>
      </c>
      <c r="Q508" s="358" t="s">
        <v>97</v>
      </c>
      <c r="R508" s="202"/>
      <c r="S508" s="203"/>
      <c r="U508" s="251"/>
      <c r="V508" s="251"/>
      <c r="W508" s="325"/>
      <c r="X508" s="647"/>
      <c r="AA508" s="323"/>
      <c r="AB508" s="323" t="s">
        <v>111</v>
      </c>
      <c r="AC508" s="323" t="s">
        <v>98</v>
      </c>
      <c r="AD508" s="323" t="s">
        <v>99</v>
      </c>
      <c r="AE508" s="323" t="s">
        <v>100</v>
      </c>
      <c r="AF508" s="323"/>
      <c r="AG508" s="323"/>
      <c r="AH508" s="324"/>
      <c r="AJ508" s="324"/>
      <c r="AL508" s="324"/>
      <c r="AN508" s="323"/>
      <c r="AO508" s="323"/>
      <c r="AP508" s="251"/>
      <c r="AQ508" s="251"/>
      <c r="AR508" s="251"/>
      <c r="AS508" s="251"/>
      <c r="AT508" s="251"/>
      <c r="AU508" s="251"/>
      <c r="FV508" s="173"/>
      <c r="FW508" s="173"/>
      <c r="FX508" s="173"/>
      <c r="FY508" s="173"/>
      <c r="FZ508" s="173"/>
      <c r="GA508" s="173"/>
      <c r="GB508" s="173"/>
      <c r="GC508" s="173"/>
      <c r="GD508" s="173"/>
      <c r="GE508" s="173"/>
      <c r="GF508" s="173"/>
      <c r="GG508" s="173"/>
      <c r="GH508" s="173"/>
      <c r="GI508" s="173"/>
      <c r="GJ508" s="173"/>
      <c r="GK508" s="173"/>
      <c r="GL508" s="173"/>
      <c r="GM508" s="173"/>
      <c r="GN508" s="173"/>
      <c r="GO508" s="173"/>
      <c r="GP508" s="173"/>
      <c r="GQ508" s="173"/>
      <c r="GR508" s="173"/>
      <c r="GS508" s="173"/>
      <c r="GT508" s="173"/>
      <c r="GU508" s="173"/>
      <c r="GV508" s="173"/>
      <c r="GW508" s="173"/>
      <c r="GX508" s="173"/>
      <c r="GY508" s="173"/>
      <c r="GZ508" s="173"/>
      <c r="HA508" s="173"/>
      <c r="HB508" s="173"/>
      <c r="HC508" s="173"/>
      <c r="HD508" s="173"/>
      <c r="HE508" s="173"/>
      <c r="HF508" s="173"/>
      <c r="HG508" s="173"/>
      <c r="HH508" s="173"/>
      <c r="HI508" s="173"/>
      <c r="HJ508" s="173"/>
      <c r="HK508" s="173"/>
      <c r="HL508" s="173"/>
      <c r="HM508" s="173"/>
      <c r="HN508" s="173"/>
    </row>
    <row r="509" spans="2:222" ht="32.5" customHeight="1" x14ac:dyDescent="0.35">
      <c r="B509" s="205" t="s">
        <v>1026</v>
      </c>
      <c r="C509" s="465">
        <f>IF(E43="Nej",0,E45)</f>
        <v>0</v>
      </c>
      <c r="D509" s="976" t="s">
        <v>1097</v>
      </c>
      <c r="E509" s="977"/>
      <c r="F509" s="1027" t="str">
        <f>IF($E$43="Ja",D509,"Etableres ikke")</f>
        <v>Etableres ikke</v>
      </c>
      <c r="G509" s="1028"/>
      <c r="H509" s="460">
        <f>VLOOKUP(B509&amp;"_"&amp;F509,'LCA data'!$B$7:$X$360,2,0)</f>
        <v>0</v>
      </c>
      <c r="I509" s="976" t="s">
        <v>1097</v>
      </c>
      <c r="J509" s="977"/>
      <c r="K509" s="1027" t="str">
        <f>IF($E$43="Ja",I509,"Etableres ikke")</f>
        <v>Etableres ikke</v>
      </c>
      <c r="L509" s="1028"/>
      <c r="M509" s="524">
        <f>VLOOKUP(B509&amp;"_"&amp;K509,'LCA data'!$B$7:$X$360,2,0)</f>
        <v>0</v>
      </c>
      <c r="N509" s="818">
        <f>W504/1000</f>
        <v>0</v>
      </c>
      <c r="O509" s="953">
        <f>SUM(N509,N517)</f>
        <v>0</v>
      </c>
      <c r="P509" s="821">
        <f>X504/1000</f>
        <v>0</v>
      </c>
      <c r="Q509" s="1029">
        <f>SUM(P509,P517)</f>
        <v>0</v>
      </c>
      <c r="R509" s="192"/>
      <c r="S509" s="196"/>
      <c r="U509" s="251"/>
      <c r="V509" s="251"/>
      <c r="W509" s="648">
        <f>E517*Dropdown!D17*-1*Y24</f>
        <v>0</v>
      </c>
      <c r="X509" s="648">
        <f>J517*Dropdown!D17*-1*Y24</f>
        <v>0</v>
      </c>
      <c r="AA509" s="323" t="s">
        <v>4</v>
      </c>
      <c r="AB509" s="323">
        <f>AC511/$J$21/$Y$24*1000</f>
        <v>0</v>
      </c>
      <c r="AC509" s="323">
        <f>Varmetab!H381</f>
        <v>0</v>
      </c>
      <c r="AD509" s="323">
        <f>AB509+AC509</f>
        <v>0</v>
      </c>
      <c r="AE509" s="323" t="s">
        <v>4</v>
      </c>
      <c r="AF509" s="323">
        <f>W504/1000</f>
        <v>0</v>
      </c>
      <c r="AG509" s="323"/>
      <c r="AH509" s="324"/>
      <c r="AJ509" s="324"/>
      <c r="AL509" s="324"/>
      <c r="AN509" s="323">
        <f>IF(F509="Angiv ikke",0,(VLOOKUP(B509&amp;"_"&amp;F509,'LCA data'!$B$7:$X$360,9,FALSE)))*C509</f>
        <v>0</v>
      </c>
      <c r="AO509" s="323">
        <f>IF(K509="Angiv ikke",0,(VLOOKUP(B509&amp;"_"&amp;K509,'LCA data'!$B$7:$X$360,9,FALSE)))*C509</f>
        <v>0</v>
      </c>
      <c r="AP509" s="251"/>
      <c r="AQ509" s="251"/>
      <c r="AR509" s="251"/>
      <c r="AS509" s="251"/>
      <c r="AT509" s="251"/>
      <c r="AU509" s="251"/>
      <c r="FV509" s="173"/>
      <c r="FW509" s="173"/>
      <c r="FX509" s="173"/>
      <c r="FY509" s="173"/>
      <c r="FZ509" s="173"/>
      <c r="GA509" s="173"/>
      <c r="GB509" s="173"/>
      <c r="GC509" s="173"/>
      <c r="GD509" s="173"/>
      <c r="GE509" s="173"/>
      <c r="GF509" s="173"/>
      <c r="GG509" s="173"/>
      <c r="GH509" s="173"/>
      <c r="GI509" s="173"/>
      <c r="GJ509" s="173"/>
      <c r="GK509" s="173"/>
      <c r="GL509" s="173"/>
      <c r="GM509" s="173"/>
      <c r="GN509" s="173"/>
      <c r="GO509" s="173"/>
      <c r="GP509" s="173"/>
      <c r="GQ509" s="173"/>
      <c r="GR509" s="173"/>
      <c r="GS509" s="173"/>
      <c r="GT509" s="173"/>
      <c r="GU509" s="173"/>
      <c r="GV509" s="173"/>
      <c r="GW509" s="173"/>
      <c r="GX509" s="173"/>
      <c r="GY509" s="173"/>
      <c r="GZ509" s="173"/>
      <c r="HA509" s="173"/>
      <c r="HB509" s="173"/>
      <c r="HC509" s="173"/>
      <c r="HD509" s="173"/>
      <c r="HE509" s="173"/>
      <c r="HF509" s="173"/>
      <c r="HG509" s="173"/>
      <c r="HH509" s="173"/>
      <c r="HI509" s="173"/>
      <c r="HJ509" s="173"/>
      <c r="HK509" s="173"/>
      <c r="HL509" s="173"/>
      <c r="HM509" s="173"/>
      <c r="HN509" s="173"/>
    </row>
    <row r="510" spans="2:222" ht="32.5" customHeight="1" x14ac:dyDescent="0.35">
      <c r="B510" s="194"/>
      <c r="C510" s="423"/>
      <c r="D510" s="390"/>
      <c r="E510" s="566"/>
      <c r="F510" s="566"/>
      <c r="G510" s="566"/>
      <c r="H510" s="338" t="s">
        <v>84</v>
      </c>
      <c r="I510" s="628"/>
      <c r="J510" s="629"/>
      <c r="K510" s="629"/>
      <c r="L510" s="629"/>
      <c r="M510" s="479" t="s">
        <v>84</v>
      </c>
      <c r="N510" s="600"/>
      <c r="O510" s="954"/>
      <c r="P510" s="601"/>
      <c r="Q510" s="1030"/>
      <c r="R510" s="192"/>
      <c r="S510" s="196"/>
      <c r="U510" s="251"/>
      <c r="V510" s="251"/>
      <c r="W510" s="648"/>
      <c r="X510" s="648"/>
      <c r="AA510" s="323" t="s">
        <v>5</v>
      </c>
      <c r="AB510" s="323">
        <f>AC512/$J$21/$Y$24*1000</f>
        <v>0</v>
      </c>
      <c r="AC510" s="323">
        <f>Varmetab!I381</f>
        <v>0</v>
      </c>
      <c r="AD510" s="323">
        <f>AB510+AC510</f>
        <v>0</v>
      </c>
      <c r="AE510" s="323" t="s">
        <v>5</v>
      </c>
      <c r="AF510" s="323"/>
      <c r="AG510" s="323">
        <f>X504/1000</f>
        <v>0</v>
      </c>
      <c r="AH510" s="324"/>
      <c r="AJ510" s="324"/>
      <c r="AL510" s="324"/>
      <c r="AP510" s="251"/>
      <c r="AQ510" s="251"/>
      <c r="AR510" s="251"/>
      <c r="AS510" s="251"/>
      <c r="AT510" s="251"/>
      <c r="AU510" s="251"/>
      <c r="FV510" s="173"/>
      <c r="FW510" s="173"/>
      <c r="FX510" s="173"/>
      <c r="FY510" s="173"/>
      <c r="FZ510" s="173"/>
      <c r="GA510" s="173"/>
      <c r="GB510" s="173"/>
      <c r="GC510" s="173"/>
      <c r="GD510" s="173"/>
      <c r="GE510" s="173"/>
      <c r="GF510" s="173"/>
      <c r="GG510" s="173"/>
      <c r="GH510" s="173"/>
      <c r="GI510" s="173"/>
      <c r="GJ510" s="173"/>
      <c r="GK510" s="173"/>
      <c r="GL510" s="173"/>
      <c r="GM510" s="173"/>
      <c r="GN510" s="173"/>
      <c r="GO510" s="173"/>
      <c r="GP510" s="173"/>
      <c r="GQ510" s="173"/>
      <c r="GR510" s="173"/>
      <c r="GS510" s="173"/>
      <c r="GT510" s="173"/>
      <c r="GU510" s="173"/>
      <c r="GV510" s="173"/>
      <c r="GW510" s="173"/>
      <c r="GX510" s="173"/>
      <c r="GY510" s="173"/>
      <c r="GZ510" s="173"/>
      <c r="HA510" s="173"/>
      <c r="HB510" s="173"/>
      <c r="HC510" s="173"/>
      <c r="HD510" s="173"/>
      <c r="HE510" s="173"/>
      <c r="HF510" s="173"/>
      <c r="HG510" s="173"/>
      <c r="HH510" s="173"/>
      <c r="HI510" s="173"/>
      <c r="HJ510" s="173"/>
      <c r="HK510" s="173"/>
      <c r="HL510" s="173"/>
      <c r="HM510" s="173"/>
      <c r="HN510" s="173"/>
    </row>
    <row r="511" spans="2:222" ht="32.5" customHeight="1" x14ac:dyDescent="0.35">
      <c r="B511" s="194"/>
      <c r="C511" s="423"/>
      <c r="D511" s="1013" t="s">
        <v>1050</v>
      </c>
      <c r="E511" s="1014"/>
      <c r="F511" s="610"/>
      <c r="G511" s="391"/>
      <c r="H511" s="460">
        <f>IF(H509&lt;Y24,1,0)+IF((Y24-H509)&gt;H509,1,0)</f>
        <v>2</v>
      </c>
      <c r="I511" s="948" t="s">
        <v>1050</v>
      </c>
      <c r="J511" s="949"/>
      <c r="K511" s="616"/>
      <c r="L511" s="526"/>
      <c r="M511" s="524">
        <f>IF(M509&lt;Y24,1,0)+IF((Y24-M509)&gt;M509,1,0)</f>
        <v>2</v>
      </c>
      <c r="N511" s="600"/>
      <c r="O511" s="954"/>
      <c r="P511" s="601"/>
      <c r="Q511" s="1030"/>
      <c r="R511" s="192"/>
      <c r="S511" s="196"/>
      <c r="U511" s="251"/>
      <c r="V511" s="251"/>
      <c r="W511" s="252"/>
      <c r="X511" s="252"/>
      <c r="AC511" s="252">
        <f>(W504+W509)/1000</f>
        <v>0</v>
      </c>
      <c r="AF511" s="252"/>
      <c r="AG511" s="324"/>
      <c r="AH511" s="324"/>
      <c r="AJ511" s="324"/>
      <c r="AL511" s="324"/>
      <c r="AP511" s="251"/>
      <c r="AQ511" s="251"/>
      <c r="AR511" s="251"/>
      <c r="AS511" s="251"/>
      <c r="AT511" s="251"/>
      <c r="AU511" s="251"/>
      <c r="FV511" s="173"/>
      <c r="FW511" s="173"/>
      <c r="FX511" s="173"/>
      <c r="FY511" s="173"/>
      <c r="FZ511" s="173"/>
      <c r="GA511" s="173"/>
      <c r="GB511" s="173"/>
      <c r="GC511" s="173"/>
      <c r="GD511" s="173"/>
      <c r="GE511" s="173"/>
      <c r="GF511" s="173"/>
      <c r="GG511" s="173"/>
      <c r="GH511" s="173"/>
      <c r="GI511" s="173"/>
      <c r="GJ511" s="173"/>
      <c r="GK511" s="173"/>
      <c r="GL511" s="173"/>
      <c r="GM511" s="173"/>
      <c r="GN511" s="173"/>
      <c r="GO511" s="173"/>
      <c r="GP511" s="173"/>
      <c r="GQ511" s="173"/>
      <c r="GR511" s="173"/>
      <c r="GS511" s="173"/>
      <c r="GT511" s="173"/>
      <c r="GU511" s="173"/>
      <c r="GV511" s="173"/>
      <c r="GW511" s="173"/>
      <c r="GX511" s="173"/>
      <c r="GY511" s="173"/>
      <c r="GZ511" s="173"/>
      <c r="HA511" s="173"/>
      <c r="HB511" s="173"/>
      <c r="HC511" s="173"/>
      <c r="HD511" s="173"/>
      <c r="HE511" s="173"/>
      <c r="HF511" s="173"/>
      <c r="HG511" s="173"/>
      <c r="HH511" s="173"/>
      <c r="HI511" s="173"/>
      <c r="HJ511" s="173"/>
      <c r="HK511" s="173"/>
      <c r="HL511" s="173"/>
      <c r="HM511" s="173"/>
      <c r="HN511" s="173"/>
    </row>
    <row r="512" spans="2:222" ht="32.5" customHeight="1" x14ac:dyDescent="0.35">
      <c r="B512" s="194"/>
      <c r="C512" s="423"/>
      <c r="D512" s="1037" t="s">
        <v>1049</v>
      </c>
      <c r="E512" s="1038"/>
      <c r="F512" s="1009" t="s">
        <v>1048</v>
      </c>
      <c r="G512" s="1010"/>
      <c r="H512" s="612" t="s">
        <v>1047</v>
      </c>
      <c r="I512" s="1032" t="s">
        <v>1049</v>
      </c>
      <c r="J512" s="1033"/>
      <c r="K512" s="1009" t="s">
        <v>1048</v>
      </c>
      <c r="L512" s="1010"/>
      <c r="M512" s="617" t="s">
        <v>1047</v>
      </c>
      <c r="N512" s="600"/>
      <c r="O512" s="954"/>
      <c r="P512" s="601"/>
      <c r="Q512" s="1030"/>
      <c r="R512" s="192"/>
      <c r="S512" s="196"/>
      <c r="U512" s="251"/>
      <c r="V512" s="251"/>
      <c r="W512" s="252">
        <f>J517*Dropdown!D17*-1*Y24</f>
        <v>0</v>
      </c>
      <c r="X512" s="252"/>
      <c r="AC512" s="252">
        <f>(X504+X509)/1000</f>
        <v>0</v>
      </c>
      <c r="AF512" s="252"/>
      <c r="AG512" s="324"/>
      <c r="AH512" s="324"/>
      <c r="AJ512" s="324"/>
      <c r="AL512" s="324"/>
      <c r="AP512" s="251"/>
      <c r="AQ512" s="251"/>
      <c r="AR512" s="251"/>
      <c r="AS512" s="251"/>
      <c r="AT512" s="251"/>
      <c r="AU512" s="251"/>
      <c r="FV512" s="173"/>
      <c r="FW512" s="173"/>
      <c r="FX512" s="173"/>
      <c r="FY512" s="173"/>
      <c r="FZ512" s="173"/>
      <c r="GA512" s="173"/>
      <c r="GB512" s="173"/>
      <c r="GC512" s="173"/>
      <c r="GD512" s="173"/>
      <c r="GE512" s="173"/>
      <c r="GF512" s="173"/>
      <c r="GG512" s="173"/>
      <c r="GH512" s="173"/>
      <c r="GI512" s="173"/>
      <c r="GJ512" s="173"/>
      <c r="GK512" s="173"/>
      <c r="GL512" s="173"/>
      <c r="GM512" s="173"/>
      <c r="GN512" s="173"/>
      <c r="GO512" s="173"/>
      <c r="GP512" s="173"/>
      <c r="GQ512" s="173"/>
      <c r="GR512" s="173"/>
      <c r="GS512" s="173"/>
      <c r="GT512" s="173"/>
      <c r="GU512" s="173"/>
      <c r="GV512" s="173"/>
      <c r="GW512" s="173"/>
      <c r="GX512" s="173"/>
      <c r="GY512" s="173"/>
      <c r="GZ512" s="173"/>
      <c r="HA512" s="173"/>
      <c r="HB512" s="173"/>
      <c r="HC512" s="173"/>
      <c r="HD512" s="173"/>
      <c r="HE512" s="173"/>
      <c r="HF512" s="173"/>
      <c r="HG512" s="173"/>
      <c r="HH512" s="173"/>
      <c r="HI512" s="173"/>
      <c r="HJ512" s="173"/>
      <c r="HK512" s="173"/>
      <c r="HL512" s="173"/>
      <c r="HM512" s="173"/>
      <c r="HN512" s="173"/>
    </row>
    <row r="513" spans="2:222" ht="32.5" customHeight="1" x14ac:dyDescent="0.35">
      <c r="B513" s="194"/>
      <c r="C513" s="423"/>
      <c r="D513" s="1037" t="s">
        <v>734</v>
      </c>
      <c r="E513" s="1038"/>
      <c r="F513" s="1003" t="s">
        <v>1045</v>
      </c>
      <c r="G513" s="1004"/>
      <c r="H513" s="604" t="s">
        <v>1044</v>
      </c>
      <c r="I513" s="1032" t="s">
        <v>734</v>
      </c>
      <c r="J513" s="1033"/>
      <c r="K513" s="1003" t="s">
        <v>1045</v>
      </c>
      <c r="L513" s="1004"/>
      <c r="M513" s="618" t="s">
        <v>1044</v>
      </c>
      <c r="N513" s="600"/>
      <c r="O513" s="954"/>
      <c r="P513" s="601"/>
      <c r="Q513" s="1030"/>
      <c r="R513" s="192"/>
      <c r="S513" s="196"/>
      <c r="U513" s="251"/>
      <c r="V513" s="251"/>
      <c r="W513" s="252">
        <f>E517*Dropdown!D17*-1*Y24</f>
        <v>0</v>
      </c>
      <c r="X513" s="252"/>
      <c r="AF513" s="252"/>
      <c r="AG513" s="324"/>
      <c r="AH513" s="324"/>
      <c r="AJ513" s="324"/>
      <c r="AL513" s="324"/>
      <c r="AN513" s="251"/>
      <c r="AO513" s="251"/>
      <c r="AP513" s="251"/>
      <c r="AQ513" s="251"/>
      <c r="AR513" s="251"/>
      <c r="AS513" s="251"/>
      <c r="AT513" s="251"/>
      <c r="AU513" s="251"/>
      <c r="FV513" s="173"/>
      <c r="FW513" s="173"/>
      <c r="FX513" s="173"/>
      <c r="FY513" s="173"/>
      <c r="FZ513" s="173"/>
      <c r="GA513" s="173"/>
      <c r="GB513" s="173"/>
      <c r="GC513" s="173"/>
      <c r="GD513" s="173"/>
      <c r="GE513" s="173"/>
      <c r="GF513" s="173"/>
      <c r="GG513" s="173"/>
      <c r="GH513" s="173"/>
      <c r="GI513" s="173"/>
      <c r="GJ513" s="173"/>
      <c r="GK513" s="173"/>
      <c r="GL513" s="173"/>
      <c r="GM513" s="173"/>
      <c r="GN513" s="173"/>
      <c r="GO513" s="173"/>
      <c r="GP513" s="173"/>
      <c r="GQ513" s="173"/>
      <c r="GR513" s="173"/>
      <c r="GS513" s="173"/>
      <c r="GT513" s="173"/>
      <c r="GU513" s="173"/>
      <c r="GV513" s="173"/>
      <c r="GW513" s="173"/>
      <c r="GX513" s="173"/>
      <c r="GY513" s="173"/>
      <c r="GZ513" s="173"/>
      <c r="HA513" s="173"/>
      <c r="HB513" s="173"/>
      <c r="HC513" s="173"/>
      <c r="HD513" s="173"/>
      <c r="HE513" s="173"/>
      <c r="HF513" s="173"/>
      <c r="HG513" s="173"/>
      <c r="HH513" s="173"/>
      <c r="HI513" s="173"/>
      <c r="HJ513" s="173"/>
      <c r="HK513" s="173"/>
      <c r="HL513" s="173"/>
      <c r="HM513" s="173"/>
      <c r="HN513" s="173"/>
    </row>
    <row r="514" spans="2:222" ht="32.5" customHeight="1" x14ac:dyDescent="0.35">
      <c r="B514" s="563"/>
      <c r="C514" s="614" t="s">
        <v>1092</v>
      </c>
      <c r="D514" s="1022" t="s">
        <v>1040</v>
      </c>
      <c r="E514" s="1023"/>
      <c r="F514" s="1011">
        <f>VLOOKUP(Scenarier!$F$513,Solceller!B16:I23,IF(F512="Vest",2,IF(F512="V-SV",3,IF(F512="S-SV",4,IF(F512="Syd",5,IF(F512="S-SØ",6,IF(F512="Ø-SØ",7,IF(F512="Øst",8))))))))</f>
        <v>100</v>
      </c>
      <c r="G514" s="1012"/>
      <c r="H514" s="356" t="s">
        <v>1042</v>
      </c>
      <c r="I514" s="1024" t="s">
        <v>1040</v>
      </c>
      <c r="J514" s="1024"/>
      <c r="K514" s="924">
        <f>VLOOKUP(Scenarier!$K$513,Solceller!B16:I23,IF(K512="Vest",2,IF(K512="V-SV",3,IF(K512="S-SV",4,IF(K512="Syd",5,IF(K512="S-SØ",6,IF(K512="Ø-SØ",7,IF(K512="Øst",8))))))))</f>
        <v>100</v>
      </c>
      <c r="L514" s="925"/>
      <c r="M514" s="513" t="s">
        <v>1042</v>
      </c>
      <c r="N514" s="600"/>
      <c r="O514" s="954"/>
      <c r="P514" s="601"/>
      <c r="Q514" s="1030"/>
      <c r="R514" s="192"/>
      <c r="S514" s="196"/>
      <c r="U514" s="251"/>
      <c r="V514" s="251"/>
      <c r="W514" s="252"/>
      <c r="X514" s="252"/>
      <c r="AF514" s="252"/>
      <c r="AG514" s="324"/>
      <c r="AH514" s="324"/>
      <c r="AJ514" s="324"/>
      <c r="AL514" s="324"/>
      <c r="AN514" s="251"/>
      <c r="AO514" s="251"/>
      <c r="AP514" s="251"/>
      <c r="AQ514" s="251"/>
      <c r="AR514" s="251"/>
      <c r="AS514" s="251"/>
      <c r="AT514" s="251"/>
      <c r="AU514" s="251"/>
      <c r="FV514" s="173"/>
      <c r="FW514" s="173"/>
      <c r="FX514" s="173"/>
      <c r="FY514" s="173"/>
      <c r="FZ514" s="173"/>
      <c r="GA514" s="173"/>
      <c r="GB514" s="173"/>
      <c r="GC514" s="173"/>
      <c r="GD514" s="173"/>
      <c r="GE514" s="173"/>
      <c r="GF514" s="173"/>
      <c r="GG514" s="173"/>
      <c r="GH514" s="173"/>
      <c r="GI514" s="173"/>
      <c r="GJ514" s="173"/>
      <c r="GK514" s="173"/>
      <c r="GL514" s="173"/>
      <c r="GM514" s="173"/>
      <c r="GN514" s="173"/>
      <c r="GO514" s="173"/>
      <c r="GP514" s="173"/>
      <c r="GQ514" s="173"/>
      <c r="GR514" s="173"/>
      <c r="GS514" s="173"/>
      <c r="GT514" s="173"/>
      <c r="GU514" s="173"/>
      <c r="GV514" s="173"/>
      <c r="GW514" s="173"/>
      <c r="GX514" s="173"/>
      <c r="GY514" s="173"/>
      <c r="GZ514" s="173"/>
      <c r="HA514" s="173"/>
      <c r="HB514" s="173"/>
      <c r="HC514" s="173"/>
      <c r="HD514" s="173"/>
      <c r="HE514" s="173"/>
      <c r="HF514" s="173"/>
      <c r="HG514" s="173"/>
      <c r="HH514" s="173"/>
      <c r="HI514" s="173"/>
      <c r="HJ514" s="173"/>
      <c r="HK514" s="173"/>
      <c r="HL514" s="173"/>
      <c r="HM514" s="173"/>
      <c r="HN514" s="173"/>
    </row>
    <row r="515" spans="2:222" ht="32.5" customHeight="1" x14ac:dyDescent="0.35">
      <c r="B515" s="621" t="s">
        <v>1051</v>
      </c>
      <c r="C515" s="608">
        <f>25/1.9*J21</f>
        <v>5263.1578947368425</v>
      </c>
      <c r="D515" s="605" t="s">
        <v>1058</v>
      </c>
      <c r="E515" s="676" t="s">
        <v>1043</v>
      </c>
      <c r="F515" s="926">
        <f>IF(Scenarier!E515=Solceller!B35,91.2,89)</f>
        <v>89</v>
      </c>
      <c r="G515" s="927"/>
      <c r="H515" s="350" t="s">
        <v>1042</v>
      </c>
      <c r="I515" s="606" t="s">
        <v>1058</v>
      </c>
      <c r="J515" s="676" t="s">
        <v>1043</v>
      </c>
      <c r="K515" s="946">
        <f>IF(Scenarier!J515=Solceller!B35,91.2,89)</f>
        <v>89</v>
      </c>
      <c r="L515" s="947"/>
      <c r="M515" s="524" t="s">
        <v>1042</v>
      </c>
      <c r="N515" s="600"/>
      <c r="O515" s="954"/>
      <c r="P515" s="601"/>
      <c r="Q515" s="1030"/>
      <c r="R515" s="192"/>
      <c r="S515" s="196"/>
      <c r="U515" s="251"/>
      <c r="V515" s="251"/>
      <c r="W515" s="252"/>
      <c r="X515" s="252"/>
      <c r="AD515" s="458"/>
      <c r="AE515" s="458"/>
      <c r="AF515" s="252"/>
      <c r="AG515" s="324"/>
      <c r="AH515" s="324"/>
      <c r="AJ515" s="324"/>
      <c r="AL515" s="324"/>
      <c r="AN515" s="251"/>
      <c r="AO515" s="251"/>
      <c r="AP515" s="251"/>
      <c r="AQ515" s="251"/>
      <c r="AR515" s="251"/>
      <c r="AS515" s="251"/>
      <c r="AT515" s="251"/>
      <c r="AU515" s="251"/>
      <c r="FV515" s="173"/>
      <c r="FW515" s="173"/>
      <c r="FX515" s="173"/>
      <c r="FY515" s="173"/>
      <c r="FZ515" s="173"/>
      <c r="GA515" s="173"/>
      <c r="GB515" s="173"/>
      <c r="GC515" s="173"/>
      <c r="GD515" s="173"/>
      <c r="GE515" s="173"/>
      <c r="GF515" s="173"/>
      <c r="GG515" s="173"/>
      <c r="GH515" s="173"/>
      <c r="GI515" s="173"/>
      <c r="GJ515" s="173"/>
      <c r="GK515" s="173"/>
      <c r="GL515" s="173"/>
      <c r="GM515" s="173"/>
      <c r="GN515" s="173"/>
      <c r="GO515" s="173"/>
      <c r="GP515" s="173"/>
      <c r="GQ515" s="173"/>
      <c r="GR515" s="173"/>
      <c r="GS515" s="173"/>
      <c r="GT515" s="173"/>
      <c r="GU515" s="173"/>
      <c r="GV515" s="173"/>
      <c r="GW515" s="173"/>
      <c r="GX515" s="173"/>
      <c r="GY515" s="173"/>
      <c r="GZ515" s="173"/>
      <c r="HA515" s="173"/>
      <c r="HB515" s="173"/>
      <c r="HC515" s="173"/>
      <c r="HD515" s="173"/>
      <c r="HE515" s="173"/>
      <c r="HF515" s="173"/>
      <c r="HG515" s="173"/>
      <c r="HH515" s="173"/>
      <c r="HI515" s="173"/>
      <c r="HJ515" s="173"/>
      <c r="HK515" s="173"/>
      <c r="HL515" s="173"/>
      <c r="HM515" s="173"/>
      <c r="HN515" s="173"/>
    </row>
    <row r="516" spans="2:222" ht="32.5" customHeight="1" x14ac:dyDescent="0.35">
      <c r="B516" s="622"/>
      <c r="C516" s="615" t="s">
        <v>1093</v>
      </c>
      <c r="D516" s="944" t="s">
        <v>1041</v>
      </c>
      <c r="E516" s="945"/>
      <c r="F516" s="613"/>
      <c r="G516" s="610" t="s">
        <v>1094</v>
      </c>
      <c r="H516" s="611"/>
      <c r="I516" s="948" t="s">
        <v>1041</v>
      </c>
      <c r="J516" s="949"/>
      <c r="K516" s="1036" t="s">
        <v>1094</v>
      </c>
      <c r="L516" s="1036"/>
      <c r="M516" s="1036"/>
      <c r="N516" s="601"/>
      <c r="O516" s="955">
        <f>-U516*10^-3</f>
        <v>0</v>
      </c>
      <c r="P516" s="601"/>
      <c r="Q516" s="1031"/>
      <c r="R516" s="192"/>
      <c r="S516" s="196"/>
      <c r="U516" s="251"/>
      <c r="V516" s="251"/>
      <c r="W516" s="252"/>
      <c r="X516" s="252"/>
      <c r="AD516" s="458"/>
      <c r="AE516" s="458"/>
      <c r="AF516" s="252"/>
      <c r="AG516" s="324"/>
      <c r="AH516" s="324"/>
      <c r="AJ516" s="324"/>
      <c r="AL516" s="324"/>
      <c r="AN516" s="251"/>
      <c r="AO516" s="251"/>
      <c r="AP516" s="251"/>
      <c r="AQ516" s="251"/>
      <c r="AR516" s="251"/>
      <c r="AS516" s="251"/>
      <c r="AT516" s="251"/>
      <c r="AU516" s="251"/>
      <c r="FV516" s="173"/>
      <c r="FW516" s="173"/>
      <c r="FX516" s="173"/>
      <c r="FY516" s="173"/>
      <c r="FZ516" s="173"/>
      <c r="GA516" s="173"/>
      <c r="GB516" s="173"/>
      <c r="GC516" s="173"/>
      <c r="GD516" s="173"/>
      <c r="GE516" s="173"/>
      <c r="GF516" s="173"/>
      <c r="GG516" s="173"/>
      <c r="GH516" s="173"/>
      <c r="GI516" s="173"/>
      <c r="GJ516" s="173"/>
      <c r="GK516" s="173"/>
      <c r="GL516" s="173"/>
      <c r="GM516" s="173"/>
      <c r="GN516" s="173"/>
      <c r="GO516" s="173"/>
      <c r="GP516" s="173"/>
      <c r="GQ516" s="173"/>
      <c r="GR516" s="173"/>
      <c r="GS516" s="173"/>
      <c r="GT516" s="173"/>
      <c r="GU516" s="173"/>
      <c r="GV516" s="173"/>
      <c r="GW516" s="173"/>
      <c r="GX516" s="173"/>
      <c r="GY516" s="173"/>
      <c r="GZ516" s="173"/>
      <c r="HA516" s="173"/>
      <c r="HB516" s="173"/>
      <c r="HC516" s="173"/>
      <c r="HD516" s="173"/>
      <c r="HE516" s="173"/>
      <c r="HF516" s="173"/>
      <c r="HG516" s="173"/>
      <c r="HH516" s="173"/>
      <c r="HI516" s="173"/>
      <c r="HJ516" s="173"/>
      <c r="HK516" s="173"/>
      <c r="HL516" s="173"/>
      <c r="HM516" s="173"/>
      <c r="HN516" s="173"/>
    </row>
    <row r="517" spans="2:222" ht="32.5" customHeight="1" thickBot="1" x14ac:dyDescent="0.4">
      <c r="B517" s="631" t="s">
        <v>1091</v>
      </c>
      <c r="C517" s="632">
        <f>C515/J21</f>
        <v>13.157894736842106</v>
      </c>
      <c r="D517" s="633" t="s">
        <v>1040</v>
      </c>
      <c r="E517" s="634">
        <f>IF(F509="Etableres ikke",0,VLOOKUP(F509,Solceller!$B$5:$R$8,17,FALSE)*$C$509*F514/100*F515/100)</f>
        <v>0</v>
      </c>
      <c r="F517" s="624" t="s">
        <v>1039</v>
      </c>
      <c r="G517" s="635">
        <f>IF(E517/J21&lt;C517,E517/J21,C517)</f>
        <v>0</v>
      </c>
      <c r="H517" s="636" t="s">
        <v>1093</v>
      </c>
      <c r="I517" s="637" t="s">
        <v>1040</v>
      </c>
      <c r="J517" s="638">
        <f>IF(K509="Etableres ikke",0,VLOOKUP(K509,Solcelle_tabel[],17,FALSE)*$C$509*K514/100*K515/100)</f>
        <v>0</v>
      </c>
      <c r="K517" s="561" t="s">
        <v>1039</v>
      </c>
      <c r="L517" s="639">
        <f>IF(J517/J21&lt;C517,J517/J21,C517)</f>
        <v>0</v>
      </c>
      <c r="M517" s="561" t="s">
        <v>1093</v>
      </c>
      <c r="N517" s="819">
        <f>W509/1000</f>
        <v>0</v>
      </c>
      <c r="O517" s="630"/>
      <c r="P517" s="820">
        <f>X509/1000</f>
        <v>0</v>
      </c>
      <c r="Q517" s="620"/>
      <c r="R517" s="212"/>
      <c r="S517" s="213"/>
      <c r="U517" s="251"/>
      <c r="V517" s="251"/>
      <c r="W517" s="252"/>
      <c r="X517" s="252"/>
      <c r="AD517" s="458"/>
      <c r="AE517" s="458"/>
      <c r="AF517" s="252"/>
      <c r="AG517" s="324"/>
      <c r="AH517" s="324"/>
      <c r="AJ517" s="324"/>
      <c r="AL517" s="324"/>
      <c r="AN517" s="251"/>
      <c r="AO517" s="251"/>
      <c r="AP517" s="251"/>
      <c r="AQ517" s="251"/>
      <c r="AR517" s="251"/>
      <c r="AS517" s="251"/>
      <c r="AT517" s="251"/>
      <c r="AU517" s="251"/>
      <c r="FV517" s="173"/>
      <c r="FW517" s="173"/>
      <c r="FX517" s="173"/>
      <c r="FY517" s="173"/>
      <c r="FZ517" s="173"/>
      <c r="GA517" s="173"/>
      <c r="GB517" s="173"/>
      <c r="GC517" s="173"/>
      <c r="GD517" s="173"/>
      <c r="GE517" s="173"/>
      <c r="GF517" s="173"/>
      <c r="GG517" s="173"/>
      <c r="GH517" s="173"/>
      <c r="GI517" s="173"/>
      <c r="GJ517" s="173"/>
      <c r="GK517" s="173"/>
      <c r="GL517" s="173"/>
      <c r="GM517" s="173"/>
      <c r="GN517" s="173"/>
      <c r="GO517" s="173"/>
      <c r="GP517" s="173"/>
      <c r="GQ517" s="173"/>
      <c r="GR517" s="173"/>
      <c r="GS517" s="173"/>
      <c r="GT517" s="173"/>
      <c r="GU517" s="173"/>
      <c r="GV517" s="173"/>
      <c r="GW517" s="173"/>
      <c r="GX517" s="173"/>
      <c r="GY517" s="173"/>
      <c r="GZ517" s="173"/>
      <c r="HA517" s="173"/>
      <c r="HB517" s="173"/>
      <c r="HC517" s="173"/>
      <c r="HD517" s="173"/>
      <c r="HE517" s="173"/>
      <c r="HF517" s="173"/>
      <c r="HG517" s="173"/>
      <c r="HH517" s="173"/>
      <c r="HI517" s="173"/>
      <c r="HJ517" s="173"/>
      <c r="HK517" s="173"/>
      <c r="HL517" s="173"/>
      <c r="HM517" s="173"/>
      <c r="HN517" s="173"/>
    </row>
    <row r="518" spans="2:222" ht="20.5" customHeight="1" x14ac:dyDescent="0.35">
      <c r="B518" s="173" t="s">
        <v>1038</v>
      </c>
      <c r="L518" s="218"/>
      <c r="N518" s="216"/>
      <c r="P518" s="217"/>
      <c r="R518" s="174"/>
      <c r="S518" s="569"/>
      <c r="T518" s="569"/>
      <c r="U518" s="251"/>
      <c r="V518" s="251"/>
      <c r="W518" s="252"/>
      <c r="X518" s="252"/>
      <c r="AD518" s="458"/>
      <c r="AE518" s="458"/>
      <c r="AF518" s="252"/>
      <c r="AG518" s="324"/>
      <c r="AH518" s="324"/>
      <c r="AJ518" s="324"/>
      <c r="AL518" s="324"/>
      <c r="AN518" s="251"/>
      <c r="AO518" s="251"/>
      <c r="AP518" s="251"/>
      <c r="AQ518" s="251"/>
      <c r="AR518" s="251"/>
      <c r="AS518" s="251"/>
      <c r="AT518" s="251"/>
      <c r="AU518" s="251"/>
      <c r="FV518" s="173"/>
      <c r="FW518" s="173"/>
      <c r="FX518" s="173"/>
      <c r="FY518" s="173"/>
      <c r="FZ518" s="173"/>
      <c r="GA518" s="173"/>
      <c r="GB518" s="173"/>
      <c r="GC518" s="173"/>
      <c r="GD518" s="173"/>
      <c r="GE518" s="173"/>
      <c r="GF518" s="173"/>
      <c r="GG518" s="173"/>
      <c r="GH518" s="173"/>
      <c r="GI518" s="173"/>
      <c r="GJ518" s="173"/>
      <c r="GK518" s="173"/>
      <c r="GL518" s="173"/>
      <c r="GM518" s="173"/>
      <c r="GN518" s="173"/>
      <c r="GO518" s="173"/>
      <c r="GP518" s="173"/>
      <c r="GQ518" s="173"/>
      <c r="GR518" s="173"/>
      <c r="GS518" s="173"/>
      <c r="GT518" s="173"/>
      <c r="GU518" s="173"/>
      <c r="GV518" s="173"/>
      <c r="GW518" s="173"/>
      <c r="GX518" s="173"/>
      <c r="GY518" s="173"/>
      <c r="GZ518" s="173"/>
      <c r="HA518" s="173"/>
      <c r="HB518" s="173"/>
      <c r="HC518" s="173"/>
      <c r="HD518" s="173"/>
      <c r="HE518" s="173"/>
      <c r="HF518" s="173"/>
      <c r="HG518" s="173"/>
      <c r="HH518" s="173"/>
      <c r="HI518" s="173"/>
      <c r="HJ518" s="173"/>
      <c r="HK518" s="173"/>
      <c r="HL518" s="173"/>
      <c r="HM518" s="173"/>
      <c r="HN518" s="173"/>
    </row>
    <row r="519" spans="2:222" x14ac:dyDescent="0.35">
      <c r="B519" s="542"/>
      <c r="C519" s="544"/>
      <c r="D519" s="544"/>
      <c r="E519" s="544"/>
      <c r="F519" s="544"/>
      <c r="G519" s="544"/>
      <c r="H519" s="544"/>
      <c r="I519" s="544"/>
      <c r="J519" s="544"/>
      <c r="K519" s="544"/>
      <c r="L519" s="544"/>
      <c r="M519" s="544"/>
      <c r="N519" s="544"/>
      <c r="O519" s="542"/>
      <c r="P519" s="544"/>
      <c r="Q519" s="542"/>
      <c r="R519" s="558"/>
      <c r="S519" s="542"/>
      <c r="U519" s="251"/>
      <c r="V519" s="251"/>
      <c r="W519" s="323"/>
      <c r="X519" s="323"/>
      <c r="Y519" s="323"/>
      <c r="Z519" s="323"/>
      <c r="AA519" s="323"/>
      <c r="AB519" s="323"/>
      <c r="AC519" s="323"/>
      <c r="AD519" s="323"/>
      <c r="AE519" s="323"/>
      <c r="AF519" s="323"/>
      <c r="AG519" s="323"/>
      <c r="AH519" s="323"/>
      <c r="AI519" s="323"/>
      <c r="AJ519" s="323"/>
      <c r="AK519" s="323"/>
      <c r="AL519" s="323"/>
      <c r="AM519" s="323"/>
      <c r="AN519" s="323"/>
      <c r="AO519" s="323"/>
      <c r="AP519" s="323"/>
      <c r="AQ519" s="323"/>
      <c r="AR519" s="323"/>
      <c r="AS519" s="323"/>
      <c r="AT519" s="323"/>
      <c r="AU519" s="323"/>
      <c r="AV519" s="323"/>
      <c r="AW519" s="323"/>
      <c r="AX519" s="323"/>
      <c r="AY519" s="323"/>
      <c r="AZ519" s="323"/>
      <c r="BA519" s="323"/>
      <c r="BB519" s="323"/>
      <c r="BC519" s="323"/>
      <c r="BD519" s="323"/>
      <c r="BE519" s="323"/>
      <c r="BF519" s="323"/>
      <c r="BG519" s="323"/>
      <c r="BH519" s="323"/>
      <c r="BI519" s="323"/>
      <c r="BJ519" s="323"/>
      <c r="BK519" s="323"/>
      <c r="BL519" s="323"/>
      <c r="BM519" s="323"/>
      <c r="BN519" s="323"/>
      <c r="BO519" s="323"/>
      <c r="BP519" s="323"/>
      <c r="BQ519" s="323"/>
      <c r="BR519" s="323"/>
      <c r="BS519" s="323"/>
      <c r="BT519" s="323"/>
      <c r="BU519" s="323"/>
      <c r="BV519" s="323"/>
      <c r="BW519" s="323"/>
      <c r="BX519" s="323"/>
      <c r="BY519" s="323"/>
      <c r="BZ519" s="323"/>
      <c r="CA519" s="323"/>
      <c r="CB519" s="323"/>
      <c r="CC519" s="323"/>
      <c r="CD519" s="323"/>
      <c r="CE519" s="323"/>
      <c r="CF519" s="323"/>
      <c r="CG519" s="323"/>
      <c r="CH519" s="323"/>
      <c r="CI519" s="323"/>
      <c r="CJ519" s="323"/>
      <c r="CK519" s="323"/>
      <c r="CL519" s="323"/>
      <c r="CM519" s="323"/>
      <c r="CN519" s="323"/>
      <c r="CO519" s="323"/>
      <c r="CP519" s="439"/>
      <c r="CQ519" s="440"/>
      <c r="CR519" s="323"/>
      <c r="CS519" s="323"/>
      <c r="CT519" s="323"/>
      <c r="CU519" s="323"/>
      <c r="CV519" s="323"/>
      <c r="CW519" s="323"/>
      <c r="CX519" s="323"/>
      <c r="CY519" s="323"/>
      <c r="CZ519" s="323"/>
    </row>
    <row r="520" spans="2:222" ht="15" thickBot="1" x14ac:dyDescent="0.4">
      <c r="C520" s="216"/>
      <c r="D520" s="216"/>
      <c r="E520" s="216"/>
      <c r="F520" s="216"/>
      <c r="G520" s="216"/>
      <c r="H520" s="216"/>
      <c r="I520" s="216"/>
      <c r="J520" s="216"/>
      <c r="K520" s="216"/>
      <c r="L520" s="216"/>
      <c r="M520" s="216"/>
      <c r="N520" s="216"/>
      <c r="P520" s="216"/>
      <c r="R520" s="217"/>
      <c r="U520" s="251"/>
      <c r="V520" s="251"/>
      <c r="W520" s="323"/>
      <c r="X520" s="323"/>
      <c r="Y520" s="323"/>
      <c r="Z520" s="323"/>
      <c r="AA520" s="323"/>
      <c r="AB520" s="323"/>
      <c r="AC520" s="323"/>
      <c r="AD520" s="323"/>
      <c r="AE520" s="323"/>
      <c r="AF520" s="323"/>
      <c r="AG520" s="323"/>
      <c r="AH520" s="323"/>
      <c r="AI520" s="323"/>
      <c r="AJ520" s="323"/>
      <c r="AK520" s="323"/>
      <c r="AL520" s="323"/>
      <c r="AM520" s="323"/>
      <c r="AN520" s="323"/>
      <c r="AO520" s="323"/>
      <c r="AP520" s="323"/>
      <c r="AQ520" s="323"/>
      <c r="AR520" s="323"/>
      <c r="AS520" s="323"/>
      <c r="AT520" s="323"/>
      <c r="AU520" s="323"/>
      <c r="AV520" s="323"/>
      <c r="AW520" s="323"/>
      <c r="AX520" s="323"/>
      <c r="AY520" s="323"/>
      <c r="AZ520" s="323"/>
      <c r="BA520" s="323"/>
      <c r="BB520" s="323"/>
      <c r="BC520" s="323"/>
      <c r="BD520" s="323"/>
      <c r="BE520" s="323"/>
      <c r="BF520" s="323"/>
      <c r="BG520" s="323"/>
      <c r="BH520" s="323"/>
      <c r="BI520" s="323"/>
      <c r="BJ520" s="323"/>
      <c r="BK520" s="323"/>
      <c r="BL520" s="323"/>
      <c r="BM520" s="323"/>
      <c r="BN520" s="323"/>
      <c r="BO520" s="323"/>
      <c r="BP520" s="323"/>
      <c r="BQ520" s="323"/>
      <c r="BR520" s="323"/>
      <c r="BS520" s="323"/>
      <c r="BT520" s="323"/>
      <c r="BU520" s="323"/>
      <c r="BV520" s="323"/>
      <c r="BW520" s="323"/>
      <c r="BX520" s="323"/>
      <c r="BY520" s="323"/>
      <c r="BZ520" s="323"/>
      <c r="CA520" s="323"/>
      <c r="CB520" s="323"/>
      <c r="CC520" s="323"/>
      <c r="CD520" s="323"/>
      <c r="CE520" s="323"/>
      <c r="CF520" s="323"/>
      <c r="CG520" s="323"/>
      <c r="CH520" s="323"/>
      <c r="CI520" s="323"/>
      <c r="CJ520" s="323"/>
      <c r="CK520" s="323"/>
      <c r="CL520" s="323"/>
      <c r="CM520" s="323"/>
      <c r="CN520" s="323"/>
      <c r="CO520" s="323"/>
      <c r="CP520" s="439"/>
      <c r="CQ520" s="440"/>
      <c r="CR520" s="323"/>
      <c r="CS520" s="323"/>
      <c r="CT520" s="323"/>
      <c r="CU520" s="323"/>
      <c r="CV520" s="323"/>
      <c r="CW520" s="323"/>
      <c r="CX520" s="323"/>
      <c r="CY520" s="323"/>
      <c r="CZ520" s="323"/>
    </row>
    <row r="521" spans="2:222" ht="39" customHeight="1" x14ac:dyDescent="0.7">
      <c r="B521" s="484" t="s">
        <v>42</v>
      </c>
      <c r="C521" s="481"/>
      <c r="D521" s="483"/>
      <c r="E521" s="481"/>
      <c r="F521" s="481"/>
      <c r="G521" s="481"/>
      <c r="H521" s="483"/>
      <c r="I521" s="481"/>
      <c r="J521" s="481"/>
      <c r="K521" s="481"/>
      <c r="L521" s="481"/>
      <c r="M521" s="481"/>
      <c r="N521" s="481"/>
      <c r="O521" s="481"/>
      <c r="P521" s="481"/>
      <c r="Q521" s="481"/>
      <c r="R521" s="481"/>
      <c r="S521" s="482"/>
      <c r="U521" s="251"/>
      <c r="V521" s="251"/>
      <c r="W521" s="323"/>
      <c r="X521" s="323"/>
      <c r="Y521" s="323"/>
      <c r="Z521" s="323"/>
      <c r="AA521" s="323"/>
      <c r="AB521" s="323"/>
      <c r="AC521" s="323"/>
      <c r="AD521" s="323"/>
      <c r="AE521" s="323"/>
      <c r="AF521" s="323"/>
      <c r="AG521" s="323"/>
      <c r="AH521" s="323"/>
      <c r="AI521" s="323"/>
      <c r="AJ521" s="323"/>
      <c r="AK521" s="323"/>
      <c r="AL521" s="323"/>
      <c r="AM521" s="323"/>
      <c r="AN521" s="323"/>
      <c r="AO521" s="323"/>
      <c r="AP521" s="323"/>
      <c r="AQ521" s="323"/>
      <c r="AR521" s="323"/>
      <c r="AS521" s="323"/>
      <c r="AT521" s="323"/>
      <c r="AU521" s="323"/>
      <c r="AV521" s="323"/>
      <c r="AW521" s="323"/>
      <c r="AX521" s="323"/>
      <c r="AY521" s="323"/>
      <c r="AZ521" s="323"/>
      <c r="BA521" s="323"/>
      <c r="BB521" s="323"/>
      <c r="BC521" s="323"/>
      <c r="BD521" s="323"/>
      <c r="BE521" s="323"/>
      <c r="BF521" s="323"/>
      <c r="BG521" s="323"/>
      <c r="BH521" s="323"/>
      <c r="BI521" s="323"/>
      <c r="BJ521" s="323"/>
      <c r="BK521" s="323"/>
      <c r="BL521" s="323"/>
      <c r="BM521" s="323"/>
      <c r="BN521" s="323"/>
      <c r="BO521" s="323"/>
      <c r="BP521" s="323"/>
      <c r="BQ521" s="323"/>
      <c r="BR521" s="323"/>
      <c r="BS521" s="323"/>
      <c r="BT521" s="323"/>
      <c r="BU521" s="323"/>
      <c r="BV521" s="323"/>
      <c r="BW521" s="323"/>
      <c r="BX521" s="323"/>
      <c r="BY521" s="323"/>
      <c r="BZ521" s="323"/>
      <c r="CA521" s="323"/>
      <c r="CB521" s="323"/>
      <c r="CC521" s="323"/>
      <c r="CD521" s="323"/>
      <c r="CE521" s="323"/>
      <c r="CF521" s="323"/>
      <c r="CG521" s="323"/>
      <c r="CH521" s="323"/>
      <c r="CI521" s="323"/>
      <c r="CJ521" s="323"/>
      <c r="CK521" s="323"/>
      <c r="CL521" s="323"/>
      <c r="CM521" s="323"/>
      <c r="CN521" s="323"/>
      <c r="CO521" s="323"/>
      <c r="CP521" s="439"/>
      <c r="CQ521" s="440"/>
      <c r="CR521" s="323"/>
      <c r="CS521" s="323"/>
      <c r="CT521" s="323"/>
      <c r="CU521" s="323"/>
      <c r="CV521" s="323"/>
      <c r="CW521" s="323"/>
      <c r="CX521" s="323"/>
      <c r="CY521" s="323"/>
      <c r="CZ521" s="323"/>
    </row>
    <row r="522" spans="2:222" ht="26" customHeight="1" x14ac:dyDescent="0.35">
      <c r="B522" s="413"/>
      <c r="C522" s="175"/>
      <c r="D522" s="175"/>
      <c r="E522" s="175"/>
      <c r="F522" s="175"/>
      <c r="G522" s="175"/>
      <c r="H522" s="175"/>
      <c r="I522" s="175"/>
      <c r="J522" s="175"/>
      <c r="K522" s="175"/>
      <c r="L522" s="175"/>
      <c r="M522" s="175"/>
      <c r="N522" s="175"/>
      <c r="O522" s="175"/>
      <c r="P522" s="175"/>
      <c r="Q522" s="175"/>
      <c r="R522" s="175"/>
      <c r="S522" s="414"/>
      <c r="U522" s="251"/>
      <c r="V522" s="251"/>
      <c r="W522" s="323"/>
      <c r="X522" s="323"/>
      <c r="Y522" s="323"/>
      <c r="Z522" s="323"/>
      <c r="AA522" s="323"/>
      <c r="AB522" s="323"/>
      <c r="AC522" s="323"/>
      <c r="AD522" s="323"/>
      <c r="AE522" s="323"/>
      <c r="AF522" s="323"/>
      <c r="AG522" s="323"/>
      <c r="AH522" s="323"/>
      <c r="AI522" s="323"/>
      <c r="AJ522" s="323"/>
      <c r="AK522" s="323"/>
      <c r="AL522" s="323"/>
      <c r="AM522" s="323"/>
      <c r="AN522" s="323"/>
      <c r="AO522" s="323"/>
      <c r="AP522" s="323"/>
      <c r="AQ522" s="323"/>
      <c r="AR522" s="323"/>
      <c r="AS522" s="323"/>
      <c r="AT522" s="323"/>
      <c r="AU522" s="323"/>
      <c r="AV522" s="323"/>
      <c r="AW522" s="323"/>
      <c r="AX522" s="323"/>
      <c r="AY522" s="323"/>
      <c r="AZ522" s="323"/>
      <c r="BA522" s="323"/>
      <c r="BB522" s="323"/>
      <c r="BC522" s="323"/>
      <c r="BD522" s="323"/>
      <c r="BE522" s="323"/>
      <c r="BF522" s="323"/>
      <c r="BG522" s="323"/>
      <c r="BH522" s="323"/>
      <c r="BI522" s="323"/>
      <c r="BJ522" s="323"/>
      <c r="BK522" s="323"/>
      <c r="BL522" s="323"/>
      <c r="BM522" s="323"/>
      <c r="BN522" s="323"/>
      <c r="BO522" s="323"/>
      <c r="BP522" s="323"/>
      <c r="BQ522" s="323"/>
      <c r="BR522" s="323"/>
      <c r="BS522" s="323"/>
      <c r="BT522" s="323"/>
      <c r="BU522" s="323"/>
      <c r="BV522" s="323"/>
      <c r="BW522" s="323"/>
      <c r="BX522" s="323"/>
      <c r="BY522" s="323"/>
      <c r="BZ522" s="323"/>
      <c r="CA522" s="323"/>
      <c r="CB522" s="323"/>
      <c r="CC522" s="323"/>
      <c r="CD522" s="323"/>
      <c r="CE522" s="323"/>
      <c r="CF522" s="323"/>
      <c r="CG522" s="323"/>
      <c r="CH522" s="323"/>
      <c r="CI522" s="323"/>
      <c r="CJ522" s="323"/>
      <c r="CK522" s="323"/>
      <c r="CL522" s="323"/>
      <c r="CM522" s="323"/>
      <c r="CN522" s="323"/>
      <c r="CO522" s="323"/>
      <c r="CP522" s="439"/>
      <c r="CQ522" s="440"/>
      <c r="CR522" s="323"/>
      <c r="CS522" s="323"/>
      <c r="CT522" s="323"/>
      <c r="CU522" s="323"/>
      <c r="CV522" s="323"/>
      <c r="CW522" s="323"/>
      <c r="CX522" s="323"/>
      <c r="CY522" s="323"/>
      <c r="CZ522" s="323"/>
    </row>
    <row r="523" spans="2:222" ht="26" customHeight="1" x14ac:dyDescent="0.35">
      <c r="B523" s="242"/>
      <c r="L523" s="218"/>
      <c r="N523" s="216"/>
      <c r="O523" s="216"/>
      <c r="R523" s="217"/>
      <c r="S523" s="183"/>
      <c r="U523" s="251"/>
      <c r="V523" s="251"/>
      <c r="W523" s="323"/>
      <c r="X523" s="323"/>
      <c r="Y523" s="323"/>
      <c r="Z523" s="323"/>
      <c r="AA523" s="323"/>
      <c r="AB523" s="323"/>
      <c r="AC523" s="323"/>
      <c r="AD523" s="323"/>
      <c r="AE523" s="323"/>
      <c r="AF523" s="323"/>
      <c r="AG523" s="323"/>
      <c r="AH523" s="323"/>
      <c r="AI523" s="323"/>
      <c r="AJ523" s="323"/>
      <c r="AK523" s="323"/>
      <c r="AL523" s="323"/>
      <c r="AM523" s="323"/>
      <c r="AN523" s="323"/>
      <c r="AO523" s="323"/>
      <c r="AP523" s="323"/>
      <c r="AQ523" s="323"/>
      <c r="AR523" s="323"/>
      <c r="AS523" s="323"/>
      <c r="AT523" s="323"/>
      <c r="AU523" s="323"/>
      <c r="AV523" s="323"/>
      <c r="AW523" s="323"/>
      <c r="AX523" s="323"/>
      <c r="AY523" s="323"/>
      <c r="AZ523" s="323"/>
      <c r="BA523" s="323"/>
      <c r="BB523" s="323"/>
      <c r="BC523" s="323"/>
      <c r="BD523" s="323"/>
      <c r="BE523" s="323"/>
      <c r="BF523" s="323"/>
      <c r="BG523" s="323"/>
      <c r="BH523" s="323"/>
      <c r="BI523" s="323"/>
      <c r="BJ523" s="323"/>
      <c r="BK523" s="323"/>
      <c r="BL523" s="323"/>
      <c r="BM523" s="323"/>
      <c r="BN523" s="323"/>
      <c r="BO523" s="323"/>
      <c r="BP523" s="323"/>
      <c r="BQ523" s="323"/>
      <c r="BR523" s="323"/>
      <c r="BS523" s="323"/>
      <c r="BT523" s="323"/>
      <c r="BU523" s="323"/>
      <c r="BV523" s="323"/>
      <c r="BW523" s="323"/>
      <c r="BX523" s="323"/>
      <c r="BY523" s="323"/>
      <c r="BZ523" s="323"/>
      <c r="CA523" s="323"/>
      <c r="CB523" s="323"/>
      <c r="CC523" s="323"/>
      <c r="CD523" s="323"/>
      <c r="CE523" s="323"/>
      <c r="CF523" s="323"/>
      <c r="CG523" s="323"/>
      <c r="CH523" s="323"/>
      <c r="CI523" s="323"/>
      <c r="CJ523" s="323"/>
      <c r="CK523" s="323"/>
      <c r="CL523" s="323"/>
      <c r="CM523" s="323"/>
      <c r="CN523" s="323"/>
      <c r="CO523" s="323"/>
      <c r="CP523" s="439"/>
      <c r="CQ523" s="440"/>
      <c r="CR523" s="323"/>
      <c r="CS523" s="323"/>
      <c r="CT523" s="323"/>
      <c r="CU523" s="323"/>
      <c r="CV523" s="323"/>
      <c r="CW523" s="323"/>
      <c r="CX523" s="323"/>
      <c r="CY523" s="323"/>
      <c r="CZ523" s="323"/>
    </row>
    <row r="524" spans="2:222" ht="26" customHeight="1" x14ac:dyDescent="0.35">
      <c r="B524" s="242"/>
      <c r="S524" s="227"/>
      <c r="U524" s="251"/>
      <c r="V524" s="251"/>
      <c r="W524" s="323"/>
      <c r="X524" s="323"/>
      <c r="Y524" s="323"/>
      <c r="Z524" s="323"/>
      <c r="AA524" s="323"/>
      <c r="AB524" s="323"/>
      <c r="AC524" s="323"/>
      <c r="AD524" s="323"/>
      <c r="AE524" s="323"/>
      <c r="AF524" s="323"/>
      <c r="AG524" s="323"/>
      <c r="AH524" s="323"/>
      <c r="AI524" s="323"/>
      <c r="AJ524" s="323"/>
      <c r="AK524" s="323"/>
      <c r="AL524" s="323"/>
      <c r="AM524" s="323"/>
      <c r="AN524" s="323"/>
      <c r="AO524" s="323"/>
      <c r="AP524" s="323"/>
      <c r="AQ524" s="323"/>
      <c r="AR524" s="323"/>
      <c r="AS524" s="323"/>
      <c r="AT524" s="323"/>
      <c r="AU524" s="323"/>
      <c r="AV524" s="323"/>
      <c r="AW524" s="323"/>
      <c r="AX524" s="323"/>
      <c r="AY524" s="323"/>
      <c r="AZ524" s="323"/>
      <c r="BA524" s="323"/>
      <c r="BB524" s="323"/>
      <c r="BC524" s="323"/>
      <c r="BD524" s="323"/>
      <c r="BE524" s="323"/>
      <c r="BF524" s="323"/>
      <c r="BG524" s="323"/>
      <c r="BH524" s="323"/>
      <c r="BI524" s="323"/>
      <c r="BJ524" s="323"/>
      <c r="BK524" s="323"/>
      <c r="BL524" s="323"/>
      <c r="BM524" s="323"/>
      <c r="BN524" s="323"/>
      <c r="BO524" s="323"/>
      <c r="BP524" s="323"/>
      <c r="BQ524" s="323"/>
      <c r="BR524" s="323"/>
      <c r="BS524" s="323"/>
      <c r="BT524" s="323"/>
      <c r="BU524" s="323"/>
      <c r="BV524" s="323"/>
      <c r="BW524" s="323"/>
      <c r="BX524" s="323"/>
      <c r="BY524" s="323"/>
      <c r="BZ524" s="323"/>
      <c r="CA524" s="323"/>
      <c r="CB524" s="323"/>
      <c r="CC524" s="323"/>
      <c r="CD524" s="323"/>
      <c r="CE524" s="323"/>
      <c r="CF524" s="323"/>
      <c r="CG524" s="323"/>
      <c r="CH524" s="323"/>
      <c r="CI524" s="323"/>
      <c r="CJ524" s="323"/>
      <c r="CK524" s="323"/>
      <c r="CL524" s="323"/>
      <c r="CM524" s="323"/>
      <c r="CN524" s="323"/>
      <c r="CO524" s="323"/>
      <c r="CP524" s="439"/>
      <c r="CQ524" s="440"/>
      <c r="CR524" s="323"/>
      <c r="CS524" s="323"/>
      <c r="CT524" s="323"/>
      <c r="CU524" s="323"/>
      <c r="CV524" s="323"/>
      <c r="CW524" s="323"/>
      <c r="CX524" s="323"/>
      <c r="CY524" s="323"/>
      <c r="CZ524" s="323"/>
    </row>
    <row r="525" spans="2:222" ht="26" customHeight="1" x14ac:dyDescent="0.35">
      <c r="B525" s="242"/>
      <c r="S525" s="227"/>
      <c r="U525" s="251"/>
      <c r="V525" s="251"/>
      <c r="W525" s="323"/>
      <c r="X525" s="323"/>
      <c r="Y525" s="323"/>
      <c r="Z525" s="323"/>
      <c r="AA525" s="323"/>
      <c r="AB525" s="323"/>
      <c r="AC525" s="323"/>
      <c r="AD525" s="323"/>
      <c r="AE525" s="323"/>
      <c r="AF525" s="323"/>
      <c r="AG525" s="323"/>
      <c r="AH525" s="323"/>
      <c r="AI525" s="323"/>
      <c r="AJ525" s="323"/>
      <c r="AK525" s="323"/>
      <c r="AL525" s="323"/>
      <c r="AM525" s="323"/>
      <c r="AN525" s="323"/>
      <c r="AO525" s="323"/>
      <c r="AP525" s="323"/>
      <c r="AQ525" s="323"/>
      <c r="AR525" s="323"/>
      <c r="AS525" s="323"/>
      <c r="AT525" s="323"/>
      <c r="AU525" s="323"/>
      <c r="AV525" s="323"/>
      <c r="AW525" s="323"/>
      <c r="AX525" s="323"/>
      <c r="AY525" s="323"/>
      <c r="AZ525" s="323"/>
      <c r="BA525" s="323"/>
      <c r="BB525" s="323"/>
      <c r="BC525" s="323"/>
      <c r="BD525" s="323"/>
      <c r="BE525" s="323"/>
      <c r="BF525" s="323"/>
      <c r="BG525" s="323"/>
      <c r="BH525" s="323"/>
      <c r="BI525" s="323"/>
      <c r="BJ525" s="323"/>
      <c r="BK525" s="323"/>
      <c r="BL525" s="323"/>
      <c r="BM525" s="323"/>
      <c r="BN525" s="323"/>
      <c r="BO525" s="323"/>
      <c r="BP525" s="323"/>
      <c r="BQ525" s="323"/>
      <c r="BR525" s="323"/>
      <c r="BS525" s="323"/>
      <c r="BT525" s="323"/>
      <c r="BU525" s="323"/>
      <c r="BV525" s="323"/>
      <c r="BW525" s="323"/>
      <c r="BX525" s="323"/>
      <c r="BY525" s="323"/>
      <c r="BZ525" s="323"/>
      <c r="CA525" s="323"/>
      <c r="CB525" s="323"/>
      <c r="CC525" s="323"/>
      <c r="CD525" s="323"/>
      <c r="CE525" s="323"/>
      <c r="CF525" s="323"/>
      <c r="CG525" s="323"/>
      <c r="CH525" s="323"/>
      <c r="CI525" s="323"/>
      <c r="CJ525" s="323"/>
      <c r="CK525" s="323"/>
      <c r="CL525" s="323"/>
      <c r="CM525" s="323"/>
      <c r="CN525" s="323"/>
      <c r="CO525" s="323"/>
      <c r="CP525" s="440"/>
      <c r="CQ525" s="440"/>
      <c r="CR525" s="323"/>
      <c r="CS525" s="323"/>
      <c r="CT525" s="323"/>
      <c r="CU525" s="323"/>
      <c r="CV525" s="323"/>
      <c r="CW525" s="323"/>
      <c r="CX525" s="323"/>
      <c r="CY525" s="323"/>
      <c r="CZ525" s="323"/>
    </row>
    <row r="526" spans="2:222" ht="26" customHeight="1" x14ac:dyDescent="0.35">
      <c r="B526" s="242"/>
      <c r="S526" s="227"/>
      <c r="U526" s="251"/>
      <c r="V526" s="251"/>
      <c r="W526" s="323"/>
      <c r="X526" s="323"/>
      <c r="Y526" s="323"/>
      <c r="Z526" s="323"/>
      <c r="AA526" s="323"/>
      <c r="AB526" s="323"/>
      <c r="AC526" s="323"/>
      <c r="AD526" s="323"/>
      <c r="AE526" s="323"/>
      <c r="AF526" s="323"/>
      <c r="AG526" s="323"/>
      <c r="AH526" s="323"/>
      <c r="AI526" s="323"/>
      <c r="AJ526" s="323"/>
      <c r="AK526" s="323"/>
      <c r="AL526" s="323"/>
      <c r="AM526" s="323"/>
      <c r="AN526" s="323"/>
      <c r="AO526" s="323"/>
      <c r="AP526" s="323"/>
      <c r="AQ526" s="323"/>
      <c r="AR526" s="323"/>
      <c r="AS526" s="323"/>
      <c r="AT526" s="323"/>
      <c r="AU526" s="323"/>
      <c r="AV526" s="323"/>
      <c r="AW526" s="323"/>
      <c r="AX526" s="323"/>
      <c r="AY526" s="323"/>
      <c r="AZ526" s="323"/>
      <c r="BA526" s="323"/>
      <c r="BB526" s="323"/>
      <c r="BC526" s="323"/>
      <c r="BD526" s="323"/>
      <c r="BE526" s="323"/>
      <c r="BF526" s="323"/>
      <c r="BG526" s="323"/>
      <c r="BH526" s="323"/>
      <c r="BI526" s="323"/>
      <c r="BJ526" s="323"/>
      <c r="BK526" s="323"/>
      <c r="BL526" s="323"/>
      <c r="BM526" s="323"/>
      <c r="BN526" s="323"/>
      <c r="BO526" s="323"/>
      <c r="BP526" s="323"/>
      <c r="BQ526" s="323"/>
      <c r="BR526" s="323"/>
      <c r="BS526" s="323"/>
      <c r="BT526" s="323"/>
      <c r="BU526" s="323"/>
      <c r="BV526" s="323"/>
      <c r="BW526" s="323"/>
      <c r="BX526" s="323"/>
      <c r="BY526" s="323"/>
      <c r="BZ526" s="323"/>
      <c r="CA526" s="323"/>
      <c r="CB526" s="323"/>
      <c r="CC526" s="323"/>
      <c r="CD526" s="323"/>
      <c r="CE526" s="323"/>
      <c r="CF526" s="323"/>
      <c r="CG526" s="323"/>
      <c r="CH526" s="323"/>
      <c r="CI526" s="323"/>
      <c r="CJ526" s="323"/>
      <c r="CK526" s="323"/>
      <c r="CL526" s="323"/>
      <c r="CM526" s="323"/>
      <c r="CN526" s="323"/>
      <c r="CO526" s="323"/>
      <c r="CP526" s="454"/>
      <c r="CQ526" s="455"/>
      <c r="CR526" s="323"/>
      <c r="CS526" s="323"/>
      <c r="CT526" s="323"/>
      <c r="CU526" s="323"/>
      <c r="CV526" s="323"/>
      <c r="CW526" s="323"/>
      <c r="CX526" s="323"/>
      <c r="CY526" s="323"/>
      <c r="CZ526" s="323"/>
    </row>
    <row r="527" spans="2:222" ht="26" customHeight="1" x14ac:dyDescent="0.35">
      <c r="B527" s="242"/>
      <c r="S527" s="227"/>
      <c r="U527" s="251"/>
      <c r="V527" s="251"/>
      <c r="W527" s="323"/>
      <c r="X527" s="323"/>
      <c r="Y527" s="323"/>
      <c r="Z527" s="323"/>
      <c r="AA527" s="323"/>
      <c r="AB527" s="323"/>
      <c r="AC527" s="323"/>
      <c r="AD527" s="323"/>
      <c r="AE527" s="323"/>
      <c r="AF527" s="323"/>
      <c r="AG527" s="323"/>
      <c r="AH527" s="323"/>
      <c r="AI527" s="323"/>
      <c r="AJ527" s="323"/>
      <c r="AK527" s="323"/>
      <c r="AL527" s="323"/>
      <c r="AM527" s="323"/>
      <c r="AN527" s="323"/>
      <c r="AO527" s="323"/>
      <c r="AP527" s="323"/>
      <c r="AQ527" s="323"/>
      <c r="AR527" s="323"/>
      <c r="AS527" s="323"/>
      <c r="AT527" s="323"/>
      <c r="AU527" s="323"/>
      <c r="AV527" s="323"/>
      <c r="AW527" s="323"/>
      <c r="AX527" s="323"/>
      <c r="AY527" s="323"/>
      <c r="AZ527" s="323"/>
      <c r="BA527" s="323"/>
      <c r="BB527" s="323"/>
      <c r="BC527" s="323"/>
      <c r="BD527" s="323"/>
      <c r="BE527" s="323"/>
      <c r="BF527" s="323"/>
      <c r="BG527" s="323"/>
      <c r="BH527" s="323"/>
      <c r="BI527" s="323"/>
      <c r="BJ527" s="323"/>
      <c r="BK527" s="323"/>
      <c r="BL527" s="323"/>
      <c r="BM527" s="323"/>
      <c r="BN527" s="323"/>
      <c r="BO527" s="323"/>
      <c r="BP527" s="323"/>
      <c r="BQ527" s="323"/>
      <c r="BR527" s="323"/>
      <c r="BS527" s="323"/>
      <c r="BT527" s="323"/>
      <c r="BU527" s="323"/>
      <c r="BV527" s="323"/>
      <c r="BW527" s="323"/>
      <c r="BX527" s="323"/>
      <c r="BY527" s="323"/>
      <c r="BZ527" s="323"/>
      <c r="CA527" s="323"/>
      <c r="CB527" s="323"/>
      <c r="CC527" s="323"/>
      <c r="CD527" s="323"/>
      <c r="CE527" s="323"/>
      <c r="CF527" s="323"/>
      <c r="CG527" s="323"/>
      <c r="CH527" s="323"/>
      <c r="CI527" s="323"/>
      <c r="CJ527" s="323"/>
      <c r="CK527" s="323"/>
      <c r="CL527" s="323"/>
      <c r="CM527" s="323"/>
      <c r="CN527" s="323"/>
      <c r="CO527" s="323"/>
      <c r="CQ527" s="324"/>
      <c r="CR527" s="323"/>
      <c r="CS527" s="323"/>
      <c r="CT527" s="323"/>
      <c r="CU527" s="323"/>
      <c r="CV527" s="323"/>
      <c r="CW527" s="323"/>
      <c r="CX527" s="323"/>
      <c r="CY527" s="323"/>
      <c r="CZ527" s="323"/>
    </row>
    <row r="528" spans="2:222" ht="26" customHeight="1" x14ac:dyDescent="0.35">
      <c r="B528" s="242"/>
      <c r="S528" s="227"/>
      <c r="U528" s="251"/>
      <c r="V528" s="251"/>
      <c r="W528" s="323"/>
      <c r="X528" s="323"/>
      <c r="Y528" s="323"/>
      <c r="Z528" s="323"/>
      <c r="AA528" s="323"/>
      <c r="AB528" s="323"/>
      <c r="AC528" s="323"/>
      <c r="AD528" s="323"/>
      <c r="AE528" s="323"/>
      <c r="AF528" s="323"/>
      <c r="AG528" s="323"/>
      <c r="AH528" s="323"/>
      <c r="AI528" s="323"/>
      <c r="AJ528" s="323"/>
      <c r="AK528" s="323"/>
      <c r="AL528" s="323"/>
      <c r="AM528" s="323"/>
      <c r="AN528" s="323"/>
      <c r="AO528" s="323"/>
      <c r="AP528" s="323"/>
      <c r="AQ528" s="323"/>
      <c r="AR528" s="323"/>
      <c r="AS528" s="323"/>
      <c r="AT528" s="323"/>
      <c r="AU528" s="323"/>
      <c r="AV528" s="323"/>
      <c r="AW528" s="323"/>
      <c r="AX528" s="323"/>
      <c r="AY528" s="323"/>
      <c r="AZ528" s="323"/>
      <c r="BA528" s="323"/>
      <c r="BB528" s="323"/>
      <c r="BC528" s="323"/>
      <c r="BD528" s="323"/>
      <c r="BE528" s="323"/>
      <c r="BF528" s="323"/>
      <c r="BG528" s="323"/>
      <c r="BH528" s="323"/>
      <c r="BI528" s="323"/>
      <c r="BJ528" s="323"/>
      <c r="BK528" s="323"/>
      <c r="BL528" s="323"/>
      <c r="BM528" s="323"/>
      <c r="BN528" s="323"/>
      <c r="BO528" s="323"/>
      <c r="BP528" s="323"/>
      <c r="BQ528" s="323"/>
      <c r="BR528" s="323"/>
      <c r="BS528" s="323"/>
      <c r="BT528" s="323"/>
      <c r="BU528" s="323"/>
      <c r="BV528" s="323"/>
      <c r="BW528" s="323"/>
      <c r="BX528" s="323"/>
      <c r="BY528" s="323"/>
      <c r="BZ528" s="323"/>
      <c r="CA528" s="323"/>
      <c r="CB528" s="323"/>
      <c r="CC528" s="323"/>
      <c r="CD528" s="323"/>
      <c r="CE528" s="323"/>
      <c r="CF528" s="323"/>
      <c r="CG528" s="323"/>
      <c r="CH528" s="323"/>
      <c r="CI528" s="323"/>
      <c r="CJ528" s="323"/>
      <c r="CK528" s="323"/>
      <c r="CL528" s="323"/>
      <c r="CM528" s="323"/>
      <c r="CN528" s="323"/>
      <c r="CO528" s="323"/>
      <c r="CQ528" s="324"/>
      <c r="CR528" s="323"/>
      <c r="CS528" s="323"/>
      <c r="CT528" s="323"/>
      <c r="CU528" s="323"/>
      <c r="CV528" s="323"/>
      <c r="CW528" s="323"/>
      <c r="CX528" s="323"/>
      <c r="CY528" s="323"/>
      <c r="CZ528" s="323"/>
    </row>
    <row r="529" spans="2:104" ht="26" customHeight="1" thickBot="1" x14ac:dyDescent="0.4">
      <c r="B529" s="408"/>
      <c r="C529" s="187"/>
      <c r="D529" s="187"/>
      <c r="E529" s="187"/>
      <c r="F529" s="187"/>
      <c r="G529" s="187"/>
      <c r="H529" s="187"/>
      <c r="I529" s="187"/>
      <c r="J529" s="187"/>
      <c r="K529" s="187"/>
      <c r="L529" s="187"/>
      <c r="M529" s="187"/>
      <c r="N529" s="187"/>
      <c r="O529" s="187"/>
      <c r="P529" s="187"/>
      <c r="Q529" s="187"/>
      <c r="R529" s="187"/>
      <c r="S529" s="387"/>
      <c r="U529" s="251"/>
      <c r="V529" s="251"/>
      <c r="W529" s="323"/>
      <c r="X529" s="323"/>
      <c r="Y529" s="323"/>
      <c r="Z529" s="323"/>
      <c r="AA529" s="323"/>
      <c r="AB529" s="323"/>
      <c r="AC529" s="323"/>
      <c r="AD529" s="323"/>
      <c r="AE529" s="323"/>
      <c r="AF529" s="323"/>
      <c r="AG529" s="323"/>
      <c r="AH529" s="323"/>
      <c r="AI529" s="323"/>
      <c r="AJ529" s="323"/>
      <c r="AK529" s="323"/>
      <c r="AL529" s="323"/>
      <c r="AM529" s="323"/>
      <c r="AN529" s="323"/>
      <c r="AO529" s="323"/>
      <c r="AP529" s="323"/>
      <c r="AQ529" s="323"/>
      <c r="AR529" s="323"/>
      <c r="AS529" s="323"/>
      <c r="AT529" s="323"/>
      <c r="AU529" s="323"/>
      <c r="AV529" s="323"/>
      <c r="AW529" s="323"/>
      <c r="AX529" s="323"/>
      <c r="AY529" s="323"/>
      <c r="AZ529" s="323"/>
      <c r="BA529" s="323"/>
      <c r="BB529" s="323"/>
      <c r="BC529" s="323"/>
      <c r="BD529" s="323"/>
      <c r="BE529" s="323"/>
      <c r="BF529" s="323"/>
      <c r="BG529" s="323"/>
      <c r="BH529" s="323"/>
      <c r="BI529" s="323"/>
      <c r="BJ529" s="323"/>
      <c r="BK529" s="323"/>
      <c r="BL529" s="323"/>
      <c r="BM529" s="323"/>
      <c r="BN529" s="323"/>
      <c r="BO529" s="323"/>
      <c r="BP529" s="323"/>
      <c r="BQ529" s="323"/>
      <c r="BR529" s="323"/>
      <c r="BS529" s="323"/>
      <c r="BT529" s="323"/>
      <c r="BU529" s="323"/>
      <c r="BV529" s="323"/>
      <c r="BW529" s="323"/>
      <c r="BX529" s="323"/>
      <c r="BY529" s="323"/>
      <c r="BZ529" s="323"/>
      <c r="CA529" s="323"/>
      <c r="CB529" s="323"/>
      <c r="CC529" s="323"/>
      <c r="CD529" s="323"/>
      <c r="CE529" s="323"/>
      <c r="CF529" s="323"/>
      <c r="CG529" s="323"/>
      <c r="CH529" s="323"/>
      <c r="CI529" s="323"/>
      <c r="CJ529" s="323"/>
      <c r="CK529" s="323"/>
      <c r="CL529" s="323"/>
      <c r="CM529" s="323"/>
      <c r="CN529" s="323"/>
      <c r="CO529" s="323"/>
      <c r="CQ529" s="324"/>
      <c r="CR529" s="323"/>
      <c r="CS529" s="323"/>
      <c r="CT529" s="323"/>
      <c r="CU529" s="323"/>
      <c r="CV529" s="323"/>
      <c r="CW529" s="323"/>
      <c r="CX529" s="323"/>
      <c r="CY529" s="323"/>
      <c r="CZ529" s="323"/>
    </row>
    <row r="530" spans="2:104" ht="15" thickBot="1" x14ac:dyDescent="0.4">
      <c r="Q530" s="217"/>
      <c r="R530" s="174"/>
      <c r="U530" s="251"/>
      <c r="V530" s="251"/>
      <c r="W530" s="323"/>
      <c r="X530" s="323"/>
      <c r="Y530" s="323"/>
      <c r="Z530" s="323"/>
      <c r="AA530" s="323"/>
      <c r="AB530" s="323"/>
      <c r="AC530" s="323"/>
      <c r="AD530" s="323"/>
      <c r="AE530" s="323"/>
      <c r="AF530" s="323"/>
      <c r="AG530" s="323"/>
      <c r="AH530" s="323"/>
      <c r="AI530" s="323"/>
      <c r="AJ530" s="323"/>
      <c r="AK530" s="323"/>
      <c r="AL530" s="323"/>
      <c r="AM530" s="323"/>
      <c r="AN530" s="323"/>
      <c r="AO530" s="323"/>
      <c r="AP530" s="323"/>
      <c r="AQ530" s="323"/>
      <c r="AR530" s="323"/>
      <c r="AS530" s="323"/>
      <c r="AT530" s="323"/>
      <c r="AU530" s="323"/>
      <c r="AV530" s="323"/>
      <c r="AW530" s="323"/>
      <c r="AX530" s="323"/>
      <c r="AY530" s="323"/>
      <c r="AZ530" s="323"/>
      <c r="BA530" s="323"/>
      <c r="BB530" s="323"/>
      <c r="BC530" s="323"/>
      <c r="BD530" s="323"/>
      <c r="BE530" s="323"/>
      <c r="BF530" s="323"/>
      <c r="BG530" s="323"/>
      <c r="BH530" s="323"/>
      <c r="BI530" s="323"/>
      <c r="BJ530" s="323"/>
      <c r="BK530" s="323"/>
      <c r="BL530" s="323"/>
      <c r="BM530" s="323"/>
      <c r="BN530" s="323"/>
      <c r="BO530" s="323"/>
      <c r="BP530" s="323"/>
      <c r="BQ530" s="323"/>
      <c r="BR530" s="323"/>
      <c r="BS530" s="323"/>
      <c r="BT530" s="323"/>
      <c r="BU530" s="323"/>
      <c r="BV530" s="323"/>
      <c r="BW530" s="323"/>
      <c r="BX530" s="323"/>
      <c r="BY530" s="323"/>
      <c r="BZ530" s="323"/>
      <c r="CA530" s="323"/>
      <c r="CB530" s="323"/>
      <c r="CC530" s="323"/>
      <c r="CD530" s="323"/>
      <c r="CE530" s="323"/>
      <c r="CF530" s="323"/>
      <c r="CG530" s="323"/>
      <c r="CH530" s="323"/>
      <c r="CI530" s="323"/>
      <c r="CJ530" s="323"/>
      <c r="CK530" s="323"/>
      <c r="CL530" s="323"/>
      <c r="CM530" s="323"/>
      <c r="CN530" s="323"/>
      <c r="CO530" s="323"/>
      <c r="CP530" s="331"/>
      <c r="CQ530" s="324"/>
      <c r="CR530" s="323"/>
      <c r="CS530" s="323"/>
      <c r="CT530" s="323"/>
      <c r="CU530" s="323"/>
      <c r="CV530" s="323"/>
      <c r="CW530" s="323"/>
      <c r="CX530" s="323"/>
      <c r="CY530" s="323"/>
      <c r="CZ530" s="323"/>
    </row>
    <row r="531" spans="2:104" ht="31" x14ac:dyDescent="0.35">
      <c r="B531" s="493" t="s">
        <v>112</v>
      </c>
      <c r="C531" s="499"/>
      <c r="D531" s="499"/>
      <c r="E531" s="506" t="s">
        <v>151</v>
      </c>
      <c r="F531" s="499"/>
      <c r="G531" s="499"/>
      <c r="H531" s="499"/>
      <c r="I531" s="500" t="s">
        <v>1022</v>
      </c>
      <c r="J531" s="500"/>
      <c r="K531" s="499"/>
      <c r="L531" s="499"/>
      <c r="M531" s="499"/>
      <c r="N531" s="499"/>
      <c r="O531" s="499"/>
      <c r="P531" s="499"/>
      <c r="Q531" s="499"/>
      <c r="R531" s="507"/>
      <c r="S531" s="501"/>
      <c r="U531" s="251"/>
      <c r="V531" s="251"/>
      <c r="W531" s="323" t="s">
        <v>146</v>
      </c>
      <c r="X531" s="323"/>
      <c r="Y531" s="323"/>
      <c r="Z531" s="323"/>
      <c r="AA531" s="323"/>
      <c r="AB531" s="323"/>
      <c r="AC531" s="323"/>
      <c r="AD531" s="323" t="s">
        <v>148</v>
      </c>
      <c r="AE531" s="323"/>
      <c r="AF531" s="323"/>
      <c r="AG531" s="323"/>
      <c r="AH531" s="323"/>
      <c r="AI531" s="323"/>
      <c r="AJ531" s="323" t="s">
        <v>746</v>
      </c>
      <c r="AK531" s="323" t="s">
        <v>747</v>
      </c>
      <c r="AL531" s="323"/>
      <c r="AM531" s="323"/>
      <c r="AN531" s="323" t="s">
        <v>864</v>
      </c>
      <c r="AO531" s="323" t="s">
        <v>4</v>
      </c>
      <c r="AP531" s="641">
        <f>AN535</f>
        <v>-9810</v>
      </c>
      <c r="AQ531" s="323"/>
      <c r="AR531" s="323"/>
      <c r="AS531" s="323"/>
      <c r="AT531" s="323"/>
      <c r="AU531" s="323"/>
      <c r="AV531" s="323"/>
      <c r="AW531" s="323"/>
      <c r="AX531" s="323"/>
      <c r="AY531" s="323"/>
      <c r="AZ531" s="323"/>
      <c r="BA531" s="323"/>
      <c r="BB531" s="323"/>
      <c r="BC531" s="323"/>
      <c r="BD531" s="323"/>
      <c r="BE531" s="323"/>
      <c r="BF531" s="323"/>
      <c r="BG531" s="323"/>
      <c r="BH531" s="323"/>
      <c r="BI531" s="323"/>
      <c r="BJ531" s="323"/>
      <c r="BK531" s="323"/>
      <c r="BL531" s="323"/>
      <c r="BM531" s="323"/>
      <c r="BN531" s="323"/>
      <c r="BO531" s="323"/>
      <c r="BP531" s="323"/>
      <c r="BQ531" s="323"/>
      <c r="BR531" s="323"/>
      <c r="BS531" s="323"/>
      <c r="BT531" s="323"/>
      <c r="BU531" s="323"/>
      <c r="BV531" s="323"/>
      <c r="BW531" s="323"/>
      <c r="BX531" s="323"/>
      <c r="BY531" s="323"/>
      <c r="BZ531" s="323"/>
      <c r="CA531" s="323"/>
      <c r="CB531" s="323"/>
      <c r="CC531" s="323"/>
      <c r="CD531" s="323"/>
      <c r="CE531" s="323"/>
      <c r="CF531" s="323"/>
      <c r="CG531" s="323"/>
      <c r="CH531" s="323"/>
      <c r="CI531" s="323"/>
      <c r="CJ531" s="323"/>
      <c r="CK531" s="323"/>
      <c r="CL531" s="323"/>
      <c r="CM531" s="323"/>
      <c r="CN531" s="323"/>
      <c r="CO531" s="323"/>
      <c r="CQ531" s="324"/>
      <c r="CR531" s="323"/>
      <c r="CS531" s="323"/>
      <c r="CT531" s="323"/>
      <c r="CU531" s="323"/>
      <c r="CV531" s="323"/>
      <c r="CW531" s="323"/>
      <c r="CX531" s="323"/>
      <c r="CY531" s="323"/>
      <c r="CZ531" s="323"/>
    </row>
    <row r="532" spans="2:104" ht="31" customHeight="1" x14ac:dyDescent="0.35">
      <c r="B532" s="495"/>
      <c r="C532" s="496"/>
      <c r="D532" s="936" t="s">
        <v>13</v>
      </c>
      <c r="E532" s="937"/>
      <c r="F532" s="937"/>
      <c r="G532" s="937"/>
      <c r="H532" s="938"/>
      <c r="I532" s="497"/>
      <c r="J532" s="498"/>
      <c r="K532" s="498"/>
      <c r="L532" s="498"/>
      <c r="M532" s="498"/>
      <c r="N532" s="937" t="s">
        <v>135</v>
      </c>
      <c r="O532" s="937"/>
      <c r="P532" s="937"/>
      <c r="Q532" s="943"/>
      <c r="R532" s="192"/>
      <c r="S532" s="193"/>
      <c r="U532" s="251"/>
      <c r="V532" s="251"/>
      <c r="W532" s="642">
        <f>((VLOOKUP($D$535,'LCA data'!$B$241:$X$244,19,FALSE))+W536+W537)*C535</f>
        <v>24000</v>
      </c>
      <c r="X532" s="323"/>
      <c r="Y532" s="323"/>
      <c r="Z532" s="323"/>
      <c r="AA532" s="323"/>
      <c r="AB532" s="323"/>
      <c r="AC532" s="323">
        <f>Z532</f>
        <v>0</v>
      </c>
      <c r="AD532" s="323" t="s">
        <v>133</v>
      </c>
      <c r="AE532" s="323">
        <f>AB532</f>
        <v>0</v>
      </c>
      <c r="AF532" s="323"/>
      <c r="AG532" s="323"/>
      <c r="AH532" s="323"/>
      <c r="AI532" s="323" t="s">
        <v>743</v>
      </c>
      <c r="AJ532" s="323">
        <f>C535*VLOOKUP("Installationer",Pris.installationer[],2,0)</f>
        <v>3200000</v>
      </c>
      <c r="AK532" s="323">
        <f>C535*VLOOKUP("Installationer",Pris.installationer[],2,0)</f>
        <v>3200000</v>
      </c>
      <c r="AL532" s="323"/>
      <c r="AM532" s="323"/>
      <c r="AN532" s="323" t="s">
        <v>865</v>
      </c>
      <c r="AO532" s="323" t="s">
        <v>5</v>
      </c>
      <c r="AP532" s="323"/>
      <c r="AQ532" s="641">
        <f>AN535</f>
        <v>-9810</v>
      </c>
      <c r="AR532" s="323"/>
      <c r="AS532" s="323"/>
      <c r="AT532" s="323"/>
      <c r="AU532" s="323"/>
      <c r="AV532" s="323"/>
      <c r="AW532" s="323"/>
      <c r="AX532" s="323"/>
      <c r="AY532" s="323"/>
      <c r="AZ532" s="323"/>
      <c r="BA532" s="323"/>
      <c r="BB532" s="323"/>
      <c r="BC532" s="323"/>
      <c r="BD532" s="323"/>
      <c r="BE532" s="323"/>
      <c r="BF532" s="323"/>
      <c r="BG532" s="323"/>
      <c r="BH532" s="323"/>
      <c r="BI532" s="323"/>
      <c r="BJ532" s="323"/>
      <c r="BK532" s="323"/>
      <c r="BL532" s="323"/>
      <c r="BM532" s="323"/>
      <c r="BN532" s="323"/>
      <c r="BO532" s="323"/>
      <c r="BP532" s="323"/>
      <c r="BQ532" s="323"/>
      <c r="BR532" s="323"/>
      <c r="BS532" s="323"/>
      <c r="BT532" s="323"/>
      <c r="BU532" s="323"/>
      <c r="BV532" s="323"/>
      <c r="BW532" s="323"/>
      <c r="BX532" s="323"/>
      <c r="BY532" s="323"/>
      <c r="BZ532" s="323"/>
      <c r="CA532" s="323"/>
      <c r="CB532" s="323"/>
      <c r="CC532" s="323"/>
      <c r="CD532" s="323"/>
      <c r="CE532" s="323"/>
      <c r="CF532" s="323"/>
      <c r="CG532" s="323"/>
      <c r="CH532" s="323"/>
      <c r="CI532" s="323"/>
      <c r="CJ532" s="323"/>
      <c r="CK532" s="323"/>
      <c r="CL532" s="323"/>
      <c r="CM532" s="323"/>
      <c r="CN532" s="323"/>
      <c r="CO532" s="323"/>
      <c r="CP532" s="452"/>
      <c r="CQ532" s="453"/>
      <c r="CR532" s="323"/>
      <c r="CS532" s="323"/>
      <c r="CT532" s="323"/>
      <c r="CU532" s="323"/>
      <c r="CV532" s="323"/>
      <c r="CW532" s="323"/>
      <c r="CX532" s="323"/>
      <c r="CY532" s="323"/>
      <c r="CZ532" s="323"/>
    </row>
    <row r="533" spans="2:104" ht="31" customHeight="1" x14ac:dyDescent="0.35">
      <c r="B533" s="194"/>
      <c r="C533" s="415" t="s">
        <v>80</v>
      </c>
      <c r="D533" s="907"/>
      <c r="E533" s="877"/>
      <c r="F533" s="877"/>
      <c r="G533" s="877"/>
      <c r="H533" s="939"/>
      <c r="I533" s="416"/>
      <c r="J533" s="195"/>
      <c r="K533" s="195"/>
      <c r="L533" s="195"/>
      <c r="M533" s="195"/>
      <c r="N533" s="195"/>
      <c r="O533" s="195" t="s">
        <v>142</v>
      </c>
      <c r="P533" s="195" t="s">
        <v>143</v>
      </c>
      <c r="Q533" s="415" t="s">
        <v>85</v>
      </c>
      <c r="R533" s="192"/>
      <c r="S533" s="196"/>
      <c r="U533" s="251"/>
      <c r="V533" s="251"/>
      <c r="W533" s="323"/>
      <c r="X533" s="323"/>
      <c r="Y533" s="323"/>
      <c r="Z533" s="323"/>
      <c r="AA533" s="323"/>
      <c r="AB533" s="323"/>
      <c r="AC533" s="323">
        <f>Z533</f>
        <v>0</v>
      </c>
      <c r="AD533" s="323">
        <f>AA533</f>
        <v>0</v>
      </c>
      <c r="AE533" s="323">
        <f>AB533</f>
        <v>0</v>
      </c>
      <c r="AF533" s="323"/>
      <c r="AG533" s="323"/>
      <c r="AH533" s="323"/>
      <c r="AI533" s="323"/>
      <c r="AJ533" s="323"/>
      <c r="AK533" s="323"/>
      <c r="AL533" s="323"/>
      <c r="AM533" s="323"/>
      <c r="AN533" s="323"/>
      <c r="AO533" s="323"/>
      <c r="AP533" s="323"/>
      <c r="AQ533" s="323"/>
      <c r="AR533" s="323"/>
      <c r="AS533" s="323"/>
      <c r="AT533" s="323"/>
      <c r="AU533" s="323"/>
      <c r="AV533" s="323"/>
      <c r="AW533" s="323"/>
      <c r="AX533" s="323"/>
      <c r="AY533" s="323"/>
      <c r="AZ533" s="323"/>
      <c r="BA533" s="323"/>
      <c r="BB533" s="323"/>
      <c r="BC533" s="323"/>
      <c r="BD533" s="323"/>
      <c r="BE533" s="323"/>
      <c r="BF533" s="323"/>
      <c r="BG533" s="323"/>
      <c r="BH533" s="323"/>
      <c r="BI533" s="323"/>
      <c r="BJ533" s="323"/>
      <c r="BK533" s="323"/>
      <c r="BL533" s="323"/>
      <c r="BM533" s="323"/>
      <c r="BN533" s="323"/>
      <c r="BO533" s="323"/>
      <c r="BP533" s="323"/>
      <c r="BQ533" s="323"/>
      <c r="BR533" s="323"/>
      <c r="BS533" s="323"/>
      <c r="BT533" s="323"/>
      <c r="BU533" s="323"/>
      <c r="BV533" s="323"/>
      <c r="BW533" s="323"/>
      <c r="BX533" s="323"/>
      <c r="BY533" s="323"/>
      <c r="BZ533" s="323"/>
      <c r="CA533" s="323"/>
      <c r="CB533" s="323"/>
      <c r="CC533" s="323"/>
      <c r="CD533" s="323"/>
      <c r="CE533" s="323"/>
      <c r="CF533" s="323"/>
      <c r="CG533" s="323"/>
      <c r="CH533" s="323"/>
      <c r="CI533" s="323"/>
      <c r="CJ533" s="323"/>
      <c r="CK533" s="323"/>
      <c r="CL533" s="323"/>
      <c r="CM533" s="323"/>
      <c r="CN533" s="323"/>
      <c r="CO533" s="323"/>
      <c r="CP533" s="454"/>
      <c r="CQ533" s="455"/>
      <c r="CR533" s="323"/>
      <c r="CS533" s="323"/>
      <c r="CT533" s="323"/>
      <c r="CU533" s="323"/>
      <c r="CV533" s="323"/>
      <c r="CW533" s="323"/>
      <c r="CX533" s="323"/>
      <c r="CY533" s="323"/>
      <c r="CZ533" s="323"/>
    </row>
    <row r="534" spans="2:104" ht="31" customHeight="1" x14ac:dyDescent="0.35">
      <c r="B534" s="199"/>
      <c r="C534" s="200" t="s">
        <v>94</v>
      </c>
      <c r="D534" s="940"/>
      <c r="E534" s="941"/>
      <c r="F534" s="941"/>
      <c r="G534" s="941"/>
      <c r="H534" s="942"/>
      <c r="I534" s="417"/>
      <c r="J534" s="201"/>
      <c r="K534" s="201"/>
      <c r="L534" s="201"/>
      <c r="M534" s="201"/>
      <c r="N534" s="418"/>
      <c r="O534" s="418" t="s">
        <v>144</v>
      </c>
      <c r="P534" s="418" t="s">
        <v>144</v>
      </c>
      <c r="Q534" s="419" t="s">
        <v>145</v>
      </c>
      <c r="R534" s="202"/>
      <c r="S534" s="203"/>
      <c r="U534" s="251"/>
      <c r="V534" s="251"/>
      <c r="W534" s="323">
        <f>(VLOOKUP($D$535,'LCA data'!$B$241:$X$244,19,FALSE))</f>
        <v>54.5</v>
      </c>
      <c r="X534" s="323" t="s">
        <v>1019</v>
      </c>
      <c r="Y534" s="323"/>
      <c r="Z534" s="323"/>
      <c r="AA534" s="323"/>
      <c r="AB534" s="323"/>
      <c r="AC534" s="323">
        <f>Z534</f>
        <v>0</v>
      </c>
      <c r="AD534" s="323">
        <f>AA534</f>
        <v>0</v>
      </c>
      <c r="AE534" s="323">
        <f>AB534</f>
        <v>0</v>
      </c>
      <c r="AF534" s="323"/>
      <c r="AG534" s="323"/>
      <c r="AH534" s="323"/>
      <c r="AI534" s="323"/>
      <c r="AJ534" s="323"/>
      <c r="AK534" s="323"/>
      <c r="AL534" s="323"/>
      <c r="AM534" s="323"/>
      <c r="AN534" s="323"/>
      <c r="AO534" s="323"/>
      <c r="AP534" s="323"/>
      <c r="AQ534" s="323"/>
      <c r="AR534" s="323"/>
      <c r="AS534" s="323"/>
      <c r="AT534" s="323"/>
      <c r="AU534" s="323"/>
      <c r="AV534" s="323"/>
      <c r="AW534" s="323"/>
      <c r="AX534" s="323"/>
      <c r="AY534" s="323"/>
      <c r="AZ534" s="323"/>
      <c r="BA534" s="323"/>
      <c r="BB534" s="323"/>
      <c r="BC534" s="323"/>
      <c r="BD534" s="323"/>
      <c r="BE534" s="323"/>
      <c r="BF534" s="323"/>
      <c r="BG534" s="323"/>
      <c r="BH534" s="323"/>
      <c r="BI534" s="323"/>
      <c r="BJ534" s="323"/>
      <c r="BK534" s="323"/>
      <c r="BL534" s="323"/>
      <c r="BM534" s="323"/>
      <c r="BN534" s="323"/>
      <c r="BO534" s="323"/>
      <c r="BP534" s="323"/>
      <c r="BQ534" s="323"/>
      <c r="BR534" s="323"/>
      <c r="BS534" s="323"/>
      <c r="BT534" s="323"/>
      <c r="BU534" s="323"/>
      <c r="BV534" s="323"/>
      <c r="BW534" s="323"/>
      <c r="BX534" s="323"/>
      <c r="BY534" s="323"/>
      <c r="BZ534" s="323"/>
      <c r="CA534" s="323"/>
      <c r="CB534" s="323"/>
      <c r="CC534" s="323"/>
      <c r="CD534" s="323"/>
      <c r="CE534" s="323"/>
      <c r="CF534" s="323"/>
      <c r="CG534" s="323"/>
      <c r="CH534" s="323"/>
      <c r="CI534" s="323"/>
      <c r="CJ534" s="323"/>
      <c r="CK534" s="323"/>
      <c r="CL534" s="323"/>
      <c r="CM534" s="323"/>
      <c r="CN534" s="323"/>
      <c r="CO534" s="323"/>
      <c r="CP534" s="454"/>
      <c r="CQ534" s="455"/>
      <c r="CR534" s="323"/>
      <c r="CS534" s="323"/>
      <c r="CT534" s="323"/>
      <c r="CU534" s="323"/>
      <c r="CV534" s="323"/>
      <c r="CW534" s="323"/>
      <c r="CX534" s="323"/>
      <c r="CY534" s="323"/>
      <c r="CZ534" s="323"/>
    </row>
    <row r="535" spans="2:104" ht="77" customHeight="1" x14ac:dyDescent="0.35">
      <c r="B535" s="640" t="s">
        <v>152</v>
      </c>
      <c r="C535" s="472">
        <f>$J$21</f>
        <v>400</v>
      </c>
      <c r="D535" s="933" t="str">
        <f>VLOOKUP(X11,Bygningstype[],4,0)</f>
        <v>Øvrige bygninger</v>
      </c>
      <c r="E535" s="934"/>
      <c r="F535" s="934"/>
      <c r="G535" s="934"/>
      <c r="H535" s="935"/>
      <c r="I535" s="930"/>
      <c r="J535" s="931"/>
      <c r="K535" s="931"/>
      <c r="L535" s="931"/>
      <c r="M535" s="931"/>
      <c r="N535" s="932"/>
      <c r="O535" s="420">
        <f>W532*10^-3</f>
        <v>24</v>
      </c>
      <c r="P535" s="421">
        <f>N535+O535</f>
        <v>24</v>
      </c>
      <c r="Q535" s="422">
        <f>(SUM(W532:X532))*10^-3</f>
        <v>24</v>
      </c>
      <c r="R535" s="192"/>
      <c r="S535" s="196"/>
      <c r="U535" s="251"/>
      <c r="V535" s="251"/>
      <c r="W535" s="323"/>
      <c r="X535" s="323"/>
      <c r="AA535" s="323"/>
      <c r="AB535" s="323"/>
      <c r="AC535" s="323"/>
      <c r="AD535" s="323"/>
      <c r="AE535" s="323"/>
      <c r="AF535" s="323"/>
      <c r="AG535" s="323"/>
      <c r="AH535" s="323"/>
      <c r="AI535" s="323"/>
      <c r="AJ535" s="323"/>
      <c r="AK535" s="323"/>
      <c r="AL535" s="323"/>
      <c r="AM535" s="323"/>
      <c r="AN535" s="641">
        <f>(AN537+AN539+AN540)*C535</f>
        <v>-9810</v>
      </c>
      <c r="AO535" s="323"/>
      <c r="AP535" s="323"/>
      <c r="AQ535" s="323"/>
      <c r="AR535" s="323"/>
      <c r="AS535" s="323"/>
      <c r="AT535" s="323"/>
      <c r="AU535" s="323"/>
      <c r="AV535" s="323"/>
      <c r="AW535" s="323"/>
      <c r="AX535" s="323"/>
      <c r="AY535" s="323"/>
      <c r="AZ535" s="323"/>
      <c r="BA535" s="323"/>
      <c r="BB535" s="323"/>
      <c r="BC535" s="323"/>
      <c r="BD535" s="323"/>
      <c r="BE535" s="323"/>
      <c r="BF535" s="323"/>
      <c r="BG535" s="323"/>
      <c r="BH535" s="323"/>
      <c r="BI535" s="323"/>
      <c r="BJ535" s="323"/>
      <c r="BK535" s="323"/>
      <c r="BL535" s="323"/>
      <c r="BM535" s="323"/>
      <c r="BN535" s="323"/>
      <c r="BO535" s="323"/>
      <c r="BP535" s="323"/>
      <c r="BQ535" s="323"/>
      <c r="BR535" s="323"/>
      <c r="BS535" s="323"/>
      <c r="BT535" s="323"/>
      <c r="BU535" s="323"/>
      <c r="BV535" s="323"/>
      <c r="BW535" s="323"/>
      <c r="BX535" s="323"/>
      <c r="BY535" s="323"/>
      <c r="BZ535" s="323"/>
      <c r="CA535" s="323"/>
      <c r="CB535" s="323"/>
      <c r="CC535" s="323"/>
      <c r="CD535" s="323"/>
      <c r="CE535" s="323"/>
      <c r="CF535" s="323"/>
      <c r="CG535" s="323"/>
      <c r="CH535" s="323"/>
      <c r="CI535" s="323"/>
      <c r="CJ535" s="323"/>
      <c r="CK535" s="323"/>
      <c r="CL535" s="323"/>
      <c r="CM535" s="323"/>
      <c r="CN535" s="323"/>
      <c r="CO535" s="323"/>
      <c r="CQ535" s="324"/>
      <c r="CR535" s="323"/>
      <c r="CS535" s="323"/>
      <c r="CT535" s="323"/>
      <c r="CU535" s="323"/>
      <c r="CV535" s="323"/>
      <c r="CW535" s="323"/>
      <c r="CX535" s="323"/>
      <c r="CY535" s="323"/>
      <c r="CZ535" s="323"/>
    </row>
    <row r="536" spans="2:104" x14ac:dyDescent="0.35">
      <c r="B536" s="194"/>
      <c r="C536" s="423"/>
      <c r="D536" s="672"/>
      <c r="E536" s="669"/>
      <c r="F536" s="669"/>
      <c r="G536" s="669"/>
      <c r="H536" s="670"/>
      <c r="I536" s="423"/>
      <c r="J536" s="423"/>
      <c r="K536" s="423"/>
      <c r="L536" s="423"/>
      <c r="M536" s="423"/>
      <c r="N536" s="423"/>
      <c r="O536" s="423"/>
      <c r="P536" s="423"/>
      <c r="Q536" s="423"/>
      <c r="R536" s="192"/>
      <c r="S536" s="196"/>
      <c r="U536" s="251"/>
      <c r="V536" s="251"/>
      <c r="W536" s="323">
        <f>VLOOKUP("Vand_"&amp;D535,'LCA data'!$B$7:$X$360,19,FALSE)</f>
        <v>3</v>
      </c>
      <c r="X536" s="323" t="s">
        <v>1018</v>
      </c>
      <c r="Z536" s="323"/>
      <c r="AA536" s="323"/>
      <c r="AB536" s="323"/>
      <c r="AC536" s="323"/>
      <c r="AD536" s="323"/>
      <c r="AE536" s="323"/>
      <c r="AF536" s="323">
        <f>W532/1000</f>
        <v>24</v>
      </c>
      <c r="AG536" s="323">
        <f>AF536</f>
        <v>24</v>
      </c>
      <c r="AH536" s="323"/>
      <c r="AI536" s="323"/>
      <c r="AJ536" s="323"/>
      <c r="AK536" s="323"/>
      <c r="AL536" s="323"/>
      <c r="AM536" s="323"/>
      <c r="AN536" s="323"/>
      <c r="AO536" s="323"/>
      <c r="AP536" s="323"/>
      <c r="AQ536" s="323"/>
      <c r="AR536" s="323"/>
      <c r="AS536" s="323"/>
      <c r="AT536" s="323"/>
      <c r="AU536" s="323"/>
      <c r="AV536" s="323"/>
      <c r="AW536" s="323"/>
      <c r="AX536" s="323"/>
      <c r="AY536" s="323"/>
      <c r="AZ536" s="323"/>
      <c r="BA536" s="323"/>
      <c r="BB536" s="323"/>
      <c r="BC536" s="323"/>
      <c r="BD536" s="323"/>
      <c r="BE536" s="323"/>
      <c r="BF536" s="323"/>
      <c r="BG536" s="323"/>
      <c r="BH536" s="323"/>
      <c r="BI536" s="323"/>
      <c r="BJ536" s="323"/>
      <c r="BK536" s="323"/>
      <c r="BL536" s="323"/>
      <c r="BM536" s="323"/>
      <c r="BN536" s="323"/>
      <c r="BO536" s="323"/>
      <c r="BP536" s="323"/>
      <c r="BQ536" s="323"/>
      <c r="BR536" s="323"/>
      <c r="BS536" s="323"/>
      <c r="BT536" s="323"/>
      <c r="BU536" s="323"/>
      <c r="BV536" s="323"/>
      <c r="BW536" s="323"/>
      <c r="BX536" s="323"/>
      <c r="BY536" s="323"/>
      <c r="BZ536" s="323"/>
      <c r="CA536" s="323"/>
      <c r="CB536" s="323"/>
      <c r="CC536" s="323"/>
      <c r="CD536" s="323"/>
      <c r="CE536" s="323"/>
      <c r="CF536" s="323"/>
      <c r="CG536" s="323"/>
      <c r="CH536" s="323"/>
      <c r="CI536" s="323"/>
      <c r="CJ536" s="323"/>
      <c r="CK536" s="323"/>
      <c r="CL536" s="323"/>
      <c r="CM536" s="323"/>
      <c r="CN536" s="323"/>
      <c r="CO536" s="323"/>
      <c r="CQ536" s="324"/>
      <c r="CR536" s="323"/>
      <c r="CS536" s="323"/>
      <c r="CT536" s="323"/>
      <c r="CU536" s="323"/>
      <c r="CV536" s="323"/>
      <c r="CW536" s="323"/>
      <c r="CX536" s="323"/>
      <c r="CY536" s="323"/>
      <c r="CZ536" s="323"/>
    </row>
    <row r="537" spans="2:104" ht="15" thickBot="1" x14ac:dyDescent="0.4">
      <c r="B537" s="424"/>
      <c r="C537" s="425"/>
      <c r="D537" s="673"/>
      <c r="E537" s="425"/>
      <c r="F537" s="425"/>
      <c r="G537" s="425"/>
      <c r="H537" s="671"/>
      <c r="I537" s="425"/>
      <c r="J537" s="425"/>
      <c r="K537" s="425"/>
      <c r="L537" s="425"/>
      <c r="M537" s="425"/>
      <c r="N537" s="425"/>
      <c r="O537" s="425"/>
      <c r="P537" s="425"/>
      <c r="Q537" s="425"/>
      <c r="R537" s="212"/>
      <c r="S537" s="213"/>
      <c r="U537" s="251"/>
      <c r="V537" s="251"/>
      <c r="W537" s="323">
        <f>VLOOKUP("Afløb_"&amp;D535,'LCA data'!$B$7:$X$360,19,FALSE)</f>
        <v>2.5</v>
      </c>
      <c r="X537" s="323" t="s">
        <v>1021</v>
      </c>
      <c r="Z537" s="323"/>
      <c r="AA537" s="323"/>
      <c r="AB537" s="323"/>
      <c r="AC537" s="323"/>
      <c r="AD537" s="323"/>
      <c r="AE537" s="323"/>
      <c r="AF537" s="323"/>
      <c r="AG537" s="323"/>
      <c r="AH537" s="323"/>
      <c r="AI537" s="323"/>
      <c r="AJ537" s="323"/>
      <c r="AK537" s="323"/>
      <c r="AL537" s="323"/>
      <c r="AM537" s="323"/>
      <c r="AN537" s="323">
        <f>(VLOOKUP($D$535,'LCA data'!$B$241:$X$244,20,FALSE))</f>
        <v>-22.89</v>
      </c>
      <c r="AO537" s="323"/>
      <c r="AP537" s="323"/>
      <c r="AQ537" s="323"/>
      <c r="AR537" s="323"/>
      <c r="AS537" s="323"/>
      <c r="AT537" s="323"/>
      <c r="AU537" s="323"/>
      <c r="AV537" s="323"/>
      <c r="AW537" s="323"/>
      <c r="AX537" s="323"/>
      <c r="AY537" s="323"/>
      <c r="AZ537" s="323"/>
      <c r="BA537" s="323"/>
      <c r="BB537" s="323"/>
      <c r="BC537" s="323"/>
      <c r="BD537" s="323"/>
      <c r="BE537" s="323"/>
      <c r="BF537" s="323"/>
      <c r="BG537" s="323"/>
      <c r="BH537" s="323"/>
      <c r="BI537" s="323"/>
      <c r="BJ537" s="323"/>
      <c r="BK537" s="323"/>
      <c r="BL537" s="323"/>
      <c r="BM537" s="323"/>
      <c r="BN537" s="323"/>
      <c r="BO537" s="323"/>
      <c r="BP537" s="323"/>
      <c r="BQ537" s="323"/>
      <c r="BR537" s="323"/>
      <c r="BS537" s="323"/>
      <c r="BT537" s="323"/>
      <c r="BU537" s="323"/>
      <c r="BV537" s="323"/>
      <c r="BW537" s="323"/>
      <c r="BX537" s="323"/>
      <c r="BY537" s="323"/>
      <c r="BZ537" s="323"/>
      <c r="CA537" s="323"/>
      <c r="CB537" s="323"/>
      <c r="CC537" s="323"/>
      <c r="CD537" s="323"/>
      <c r="CE537" s="323"/>
      <c r="CF537" s="323"/>
      <c r="CG537" s="323"/>
      <c r="CH537" s="323"/>
      <c r="CI537" s="323"/>
      <c r="CJ537" s="323"/>
      <c r="CK537" s="323"/>
      <c r="CL537" s="323"/>
      <c r="CM537" s="323"/>
      <c r="CN537" s="323"/>
      <c r="CO537" s="323"/>
      <c r="CQ537" s="252"/>
      <c r="CR537" s="323"/>
      <c r="CS537" s="323"/>
      <c r="CT537" s="323"/>
      <c r="CU537" s="323"/>
      <c r="CV537" s="323"/>
      <c r="CW537" s="323"/>
      <c r="CX537" s="323"/>
      <c r="CY537" s="323"/>
      <c r="CZ537" s="323"/>
    </row>
    <row r="538" spans="2:104" x14ac:dyDescent="0.35">
      <c r="C538" s="542"/>
      <c r="S538" s="217"/>
      <c r="U538" s="251"/>
      <c r="V538" s="251"/>
      <c r="W538" s="251"/>
      <c r="Z538" s="323"/>
      <c r="AA538" s="323"/>
      <c r="AB538" s="323"/>
      <c r="AC538" s="323"/>
      <c r="AD538" s="323"/>
      <c r="AE538" s="323"/>
      <c r="AF538" s="323"/>
      <c r="AG538" s="323"/>
      <c r="AH538" s="323"/>
      <c r="AI538" s="323"/>
      <c r="AJ538" s="323"/>
      <c r="AK538" s="323"/>
      <c r="AL538" s="323"/>
      <c r="AM538" s="323"/>
      <c r="AN538" s="323"/>
      <c r="AO538" s="323"/>
      <c r="AP538" s="323"/>
      <c r="AQ538" s="323"/>
      <c r="AR538" s="323"/>
      <c r="AS538" s="323"/>
      <c r="AT538" s="323"/>
      <c r="AU538" s="323"/>
      <c r="AV538" s="323"/>
      <c r="AW538" s="323"/>
      <c r="AX538" s="323"/>
      <c r="AY538" s="323"/>
      <c r="AZ538" s="323"/>
      <c r="BA538" s="323"/>
      <c r="BB538" s="323"/>
      <c r="BC538" s="323"/>
      <c r="BD538" s="323"/>
      <c r="BE538" s="323"/>
      <c r="BF538" s="323"/>
      <c r="BG538" s="323"/>
      <c r="BH538" s="323"/>
      <c r="BI538" s="323"/>
      <c r="BJ538" s="323"/>
      <c r="BK538" s="323"/>
      <c r="BL538" s="323"/>
      <c r="BM538" s="323"/>
      <c r="BN538" s="323"/>
      <c r="BO538" s="323"/>
      <c r="BP538" s="323"/>
      <c r="BQ538" s="323"/>
      <c r="BR538" s="323"/>
      <c r="BS538" s="323"/>
      <c r="BT538" s="323"/>
      <c r="BU538" s="323"/>
      <c r="BV538" s="323"/>
      <c r="BW538" s="323"/>
      <c r="BX538" s="323"/>
      <c r="BY538" s="323"/>
      <c r="BZ538" s="323"/>
      <c r="CA538" s="323"/>
      <c r="CB538" s="323"/>
      <c r="CC538" s="323"/>
      <c r="CD538" s="323"/>
      <c r="CE538" s="323"/>
      <c r="CF538" s="323"/>
      <c r="CG538" s="323"/>
      <c r="CH538" s="323"/>
      <c r="CI538" s="323"/>
      <c r="CJ538" s="323"/>
      <c r="CK538" s="323"/>
      <c r="CL538" s="323"/>
      <c r="CM538" s="323"/>
      <c r="CN538" s="323"/>
      <c r="CO538" s="323"/>
      <c r="CR538" s="323"/>
      <c r="CS538" s="323"/>
      <c r="CT538" s="323"/>
      <c r="CU538" s="323"/>
      <c r="CV538" s="323"/>
      <c r="CW538" s="323"/>
      <c r="CX538" s="323"/>
      <c r="CY538" s="323"/>
      <c r="CZ538" s="323"/>
    </row>
    <row r="539" spans="2:104" x14ac:dyDescent="0.35">
      <c r="S539" s="217"/>
      <c r="U539" s="251"/>
      <c r="V539" s="251"/>
      <c r="W539" s="251"/>
      <c r="Z539" s="323"/>
      <c r="AA539" s="323"/>
      <c r="AB539" s="323"/>
      <c r="AC539" s="323"/>
      <c r="AD539" s="323"/>
      <c r="AE539" s="323"/>
      <c r="AF539" s="323"/>
      <c r="AG539" s="323"/>
      <c r="AH539" s="323"/>
      <c r="AI539" s="323"/>
      <c r="AJ539" s="323"/>
      <c r="AK539" s="323"/>
      <c r="AL539" s="323"/>
      <c r="AM539" s="323"/>
      <c r="AN539" s="323">
        <f>VLOOKUP("Vand_"&amp;D535,'LCA data'!$B$7:$X$360,20,FALSE)</f>
        <v>-0.96</v>
      </c>
      <c r="AO539" s="323"/>
      <c r="AP539" s="323"/>
      <c r="AQ539" s="323"/>
      <c r="AR539" s="323"/>
      <c r="AS539" s="323"/>
      <c r="AT539" s="323"/>
      <c r="AU539" s="323"/>
      <c r="AV539" s="323"/>
      <c r="AW539" s="323"/>
      <c r="AX539" s="323"/>
      <c r="AY539" s="323"/>
      <c r="AZ539" s="323"/>
      <c r="BA539" s="323"/>
      <c r="BB539" s="323"/>
      <c r="BC539" s="323"/>
      <c r="BD539" s="323"/>
      <c r="BE539" s="323"/>
      <c r="BF539" s="323"/>
      <c r="BG539" s="323"/>
      <c r="BH539" s="323"/>
      <c r="BI539" s="323"/>
      <c r="BJ539" s="323"/>
      <c r="BK539" s="323"/>
      <c r="BL539" s="323"/>
      <c r="BM539" s="323"/>
      <c r="BN539" s="323"/>
      <c r="BO539" s="323"/>
      <c r="BP539" s="323"/>
      <c r="BQ539" s="323"/>
      <c r="BR539" s="323"/>
      <c r="BS539" s="323"/>
      <c r="BT539" s="323"/>
      <c r="BU539" s="323"/>
      <c r="BV539" s="323"/>
      <c r="BW539" s="323"/>
      <c r="BX539" s="323"/>
      <c r="BY539" s="323"/>
      <c r="BZ539" s="323"/>
      <c r="CA539" s="323"/>
      <c r="CB539" s="323"/>
      <c r="CC539" s="323"/>
      <c r="CD539" s="323"/>
      <c r="CE539" s="323"/>
      <c r="CF539" s="323"/>
      <c r="CG539" s="323"/>
      <c r="CH539" s="323"/>
      <c r="CI539" s="323"/>
      <c r="CJ539" s="323"/>
      <c r="CK539" s="323"/>
      <c r="CL539" s="323"/>
      <c r="CM539" s="323"/>
      <c r="CN539" s="323"/>
      <c r="CO539" s="323"/>
      <c r="CR539" s="323"/>
      <c r="CS539" s="323"/>
      <c r="CT539" s="323"/>
      <c r="CU539" s="323"/>
      <c r="CV539" s="323"/>
      <c r="CW539" s="323"/>
      <c r="CX539" s="323"/>
      <c r="CY539" s="323"/>
      <c r="CZ539" s="323"/>
    </row>
    <row r="540" spans="2:104" x14ac:dyDescent="0.35">
      <c r="S540" s="217"/>
      <c r="U540" s="251"/>
      <c r="V540" s="251"/>
      <c r="W540" s="251"/>
      <c r="Z540" s="323"/>
      <c r="AA540" s="323"/>
      <c r="AB540" s="323"/>
      <c r="AC540" s="323"/>
      <c r="AD540" s="323"/>
      <c r="AE540" s="323"/>
      <c r="AF540" s="323"/>
      <c r="AG540" s="323"/>
      <c r="AH540" s="323"/>
      <c r="AI540" s="323"/>
      <c r="AJ540" s="323"/>
      <c r="AK540" s="323"/>
      <c r="AL540" s="323"/>
      <c r="AM540" s="323"/>
      <c r="AN540" s="323">
        <f>VLOOKUP("Afløb_"&amp;D535,'LCA data'!$B$7:$X$360,20,FALSE)</f>
        <v>-0.67500000000000004</v>
      </c>
      <c r="AO540" s="323"/>
      <c r="AP540" s="323"/>
      <c r="AQ540" s="323"/>
      <c r="AR540" s="323"/>
      <c r="AS540" s="323"/>
      <c r="AT540" s="323"/>
      <c r="AU540" s="323"/>
      <c r="AV540" s="323"/>
      <c r="AW540" s="323"/>
      <c r="AX540" s="323"/>
      <c r="AY540" s="323"/>
      <c r="AZ540" s="323"/>
      <c r="BA540" s="323"/>
      <c r="BB540" s="323"/>
      <c r="BC540" s="323"/>
      <c r="BD540" s="323"/>
      <c r="BE540" s="323"/>
      <c r="BF540" s="323"/>
      <c r="BG540" s="323"/>
      <c r="BH540" s="323"/>
      <c r="BI540" s="323"/>
      <c r="BJ540" s="323"/>
      <c r="BK540" s="323"/>
      <c r="BL540" s="323"/>
      <c r="BM540" s="323"/>
      <c r="BN540" s="323"/>
      <c r="BO540" s="323"/>
      <c r="BP540" s="323"/>
      <c r="BQ540" s="323"/>
      <c r="BR540" s="323"/>
      <c r="BS540" s="323"/>
      <c r="BT540" s="323"/>
      <c r="BU540" s="323"/>
      <c r="BV540" s="323"/>
      <c r="BW540" s="323"/>
      <c r="BX540" s="323"/>
      <c r="BY540" s="323"/>
      <c r="BZ540" s="323"/>
      <c r="CA540" s="323"/>
      <c r="CB540" s="323"/>
      <c r="CC540" s="323"/>
      <c r="CD540" s="323"/>
      <c r="CE540" s="323"/>
      <c r="CF540" s="323"/>
      <c r="CG540" s="323"/>
      <c r="CH540" s="323"/>
      <c r="CI540" s="323"/>
      <c r="CJ540" s="323"/>
      <c r="CK540" s="323"/>
      <c r="CL540" s="323"/>
      <c r="CM540" s="323"/>
      <c r="CN540" s="323"/>
      <c r="CO540" s="323"/>
      <c r="CR540" s="323"/>
      <c r="CS540" s="323"/>
      <c r="CT540" s="323"/>
      <c r="CU540" s="323"/>
      <c r="CV540" s="323"/>
      <c r="CW540" s="323"/>
      <c r="CX540" s="323"/>
      <c r="CY540" s="323"/>
      <c r="CZ540" s="323"/>
    </row>
    <row r="541" spans="2:104" x14ac:dyDescent="0.35">
      <c r="S541" s="217"/>
      <c r="U541" s="251"/>
      <c r="V541" s="251"/>
      <c r="W541" s="323"/>
      <c r="X541" s="323"/>
      <c r="Z541" s="323"/>
      <c r="AA541" s="323"/>
      <c r="AB541" s="323"/>
      <c r="AC541" s="323"/>
      <c r="AD541" s="323"/>
      <c r="AE541" s="323"/>
      <c r="AF541" s="323"/>
      <c r="AG541" s="323"/>
      <c r="AH541" s="323"/>
      <c r="AI541" s="323"/>
      <c r="AJ541" s="323"/>
      <c r="AK541" s="323"/>
      <c r="AL541" s="323"/>
      <c r="AM541" s="323"/>
      <c r="AN541" s="323"/>
      <c r="AO541" s="323"/>
      <c r="AP541" s="323"/>
      <c r="AQ541" s="323"/>
      <c r="AR541" s="323"/>
      <c r="AS541" s="323"/>
      <c r="AT541" s="323"/>
      <c r="AU541" s="323"/>
      <c r="AV541" s="323"/>
      <c r="AW541" s="323"/>
      <c r="AX541" s="323"/>
      <c r="AY541" s="323"/>
      <c r="AZ541" s="323"/>
      <c r="BA541" s="323"/>
      <c r="BB541" s="323"/>
      <c r="BC541" s="323"/>
      <c r="BD541" s="323"/>
      <c r="BE541" s="323"/>
      <c r="BF541" s="323"/>
      <c r="BG541" s="323"/>
      <c r="BH541" s="323"/>
      <c r="BI541" s="323"/>
      <c r="BJ541" s="323"/>
      <c r="BK541" s="323"/>
      <c r="BL541" s="323"/>
      <c r="BM541" s="323"/>
      <c r="BN541" s="323"/>
      <c r="BO541" s="323"/>
      <c r="BP541" s="323"/>
      <c r="BQ541" s="323"/>
      <c r="BR541" s="323"/>
      <c r="BS541" s="323"/>
      <c r="BT541" s="323"/>
      <c r="BU541" s="323"/>
      <c r="BV541" s="323"/>
      <c r="BW541" s="323"/>
      <c r="BX541" s="323"/>
      <c r="BY541" s="323"/>
      <c r="BZ541" s="323"/>
      <c r="CA541" s="323"/>
      <c r="CB541" s="323"/>
      <c r="CC541" s="323"/>
      <c r="CD541" s="323"/>
      <c r="CE541" s="323"/>
      <c r="CF541" s="323"/>
      <c r="CG541" s="323"/>
      <c r="CH541" s="323"/>
      <c r="CI541" s="323"/>
      <c r="CJ541" s="323"/>
      <c r="CK541" s="323"/>
      <c r="CL541" s="323"/>
      <c r="CM541" s="323"/>
      <c r="CN541" s="323"/>
      <c r="CO541" s="323"/>
      <c r="CR541" s="323"/>
      <c r="CS541" s="323"/>
      <c r="CT541" s="323"/>
      <c r="CU541" s="323"/>
      <c r="CV541" s="323"/>
      <c r="CW541" s="323"/>
      <c r="CX541" s="323"/>
      <c r="CY541" s="323"/>
      <c r="CZ541" s="323"/>
    </row>
    <row r="542" spans="2:104" x14ac:dyDescent="0.35">
      <c r="S542" s="217"/>
      <c r="U542" s="251"/>
      <c r="V542" s="251"/>
      <c r="W542" s="323"/>
      <c r="X542" s="323"/>
      <c r="Y542" s="323"/>
      <c r="Z542" s="323"/>
      <c r="AA542" s="323"/>
      <c r="AB542" s="323"/>
      <c r="AC542" s="323"/>
      <c r="AD542" s="323"/>
      <c r="AE542" s="323"/>
      <c r="AF542" s="323"/>
      <c r="AG542" s="323"/>
      <c r="AH542" s="323"/>
      <c r="AI542" s="323"/>
      <c r="AJ542" s="323"/>
      <c r="AK542" s="323"/>
      <c r="AL542" s="323"/>
      <c r="AM542" s="323"/>
      <c r="AN542" s="323"/>
      <c r="AO542" s="323"/>
      <c r="AP542" s="323"/>
      <c r="AQ542" s="323"/>
      <c r="AR542" s="323"/>
      <c r="AS542" s="323"/>
      <c r="AT542" s="323"/>
      <c r="AU542" s="323"/>
      <c r="AV542" s="323"/>
      <c r="AW542" s="323"/>
      <c r="AX542" s="323"/>
      <c r="AY542" s="323"/>
      <c r="AZ542" s="323"/>
      <c r="BA542" s="323"/>
      <c r="BB542" s="323"/>
      <c r="BC542" s="323"/>
      <c r="BD542" s="323"/>
      <c r="BE542" s="323"/>
      <c r="BF542" s="323"/>
      <c r="BG542" s="323"/>
      <c r="BH542" s="323"/>
      <c r="BI542" s="323"/>
      <c r="BJ542" s="323"/>
      <c r="BK542" s="323"/>
      <c r="BL542" s="323"/>
      <c r="BM542" s="323"/>
      <c r="BN542" s="323"/>
      <c r="BO542" s="323"/>
      <c r="BP542" s="323"/>
      <c r="BQ542" s="323"/>
      <c r="BR542" s="323"/>
      <c r="BS542" s="323"/>
      <c r="BT542" s="323"/>
      <c r="BU542" s="323"/>
      <c r="BV542" s="323"/>
      <c r="BW542" s="323"/>
      <c r="BX542" s="323"/>
      <c r="BY542" s="323"/>
      <c r="BZ542" s="323"/>
      <c r="CA542" s="323"/>
      <c r="CB542" s="323"/>
      <c r="CC542" s="323"/>
      <c r="CD542" s="323"/>
      <c r="CE542" s="323"/>
      <c r="CF542" s="323"/>
      <c r="CG542" s="323"/>
      <c r="CH542" s="323"/>
      <c r="CI542" s="323"/>
      <c r="CJ542" s="323"/>
      <c r="CK542" s="323"/>
      <c r="CL542" s="323"/>
      <c r="CM542" s="323"/>
      <c r="CN542" s="323"/>
      <c r="CO542" s="323"/>
      <c r="CR542" s="323"/>
      <c r="CS542" s="323"/>
      <c r="CT542" s="323"/>
      <c r="CU542" s="323"/>
      <c r="CV542" s="323"/>
      <c r="CW542" s="323"/>
      <c r="CX542" s="323"/>
      <c r="CY542" s="323"/>
      <c r="CZ542" s="323"/>
    </row>
    <row r="543" spans="2:104" x14ac:dyDescent="0.35">
      <c r="S543" s="217"/>
      <c r="U543" s="251"/>
      <c r="V543" s="251"/>
      <c r="W543" s="323"/>
      <c r="X543" s="323"/>
      <c r="Y543" s="323"/>
      <c r="Z543" s="323"/>
      <c r="AA543" s="323"/>
      <c r="AB543" s="323"/>
      <c r="AC543" s="323"/>
      <c r="AD543" s="323"/>
      <c r="AE543" s="323"/>
      <c r="AF543" s="323"/>
      <c r="AG543" s="323"/>
      <c r="AH543" s="323"/>
      <c r="AI543" s="323"/>
      <c r="AJ543" s="323"/>
      <c r="AK543" s="323"/>
      <c r="AL543" s="323"/>
      <c r="AM543" s="323"/>
      <c r="AN543" s="323"/>
      <c r="AO543" s="323"/>
      <c r="AP543" s="323"/>
      <c r="AQ543" s="323"/>
      <c r="AR543" s="323"/>
      <c r="AS543" s="323"/>
      <c r="AT543" s="323"/>
      <c r="AU543" s="323"/>
      <c r="AV543" s="323"/>
      <c r="AW543" s="323"/>
      <c r="AX543" s="323"/>
      <c r="AY543" s="323"/>
      <c r="AZ543" s="323"/>
      <c r="BA543" s="323"/>
      <c r="BB543" s="323"/>
      <c r="BC543" s="323"/>
      <c r="BD543" s="323"/>
      <c r="BE543" s="323"/>
      <c r="BF543" s="323"/>
      <c r="BG543" s="323"/>
      <c r="BH543" s="323"/>
      <c r="BI543" s="323"/>
      <c r="BJ543" s="323"/>
      <c r="BK543" s="323"/>
      <c r="BL543" s="323"/>
      <c r="BM543" s="323"/>
      <c r="BN543" s="323"/>
      <c r="BO543" s="323"/>
      <c r="BP543" s="323"/>
      <c r="BQ543" s="323"/>
      <c r="BR543" s="323"/>
      <c r="BS543" s="323"/>
      <c r="BT543" s="323"/>
      <c r="BU543" s="323"/>
      <c r="BV543" s="323"/>
      <c r="BW543" s="323"/>
      <c r="BX543" s="323"/>
      <c r="BY543" s="323"/>
      <c r="BZ543" s="323"/>
      <c r="CA543" s="323"/>
      <c r="CB543" s="323"/>
      <c r="CC543" s="323"/>
      <c r="CD543" s="323"/>
      <c r="CE543" s="323"/>
      <c r="CF543" s="323"/>
      <c r="CG543" s="323"/>
      <c r="CH543" s="323"/>
      <c r="CI543" s="323"/>
      <c r="CJ543" s="323"/>
      <c r="CK543" s="323"/>
      <c r="CL543" s="323"/>
      <c r="CM543" s="323"/>
      <c r="CN543" s="323"/>
      <c r="CO543" s="323"/>
      <c r="CR543" s="323"/>
      <c r="CS543" s="323"/>
      <c r="CT543" s="323"/>
      <c r="CU543" s="323"/>
      <c r="CV543" s="323"/>
      <c r="CW543" s="323"/>
      <c r="CX543" s="323"/>
      <c r="CY543" s="323"/>
      <c r="CZ543" s="323"/>
    </row>
    <row r="544" spans="2:104" x14ac:dyDescent="0.35">
      <c r="S544" s="217"/>
      <c r="U544" s="251"/>
      <c r="V544" s="251"/>
      <c r="W544" s="323"/>
      <c r="X544" s="323"/>
      <c r="Y544" s="323"/>
      <c r="Z544" s="323"/>
      <c r="AA544" s="323"/>
      <c r="AB544" s="323"/>
      <c r="AC544" s="323"/>
      <c r="AD544" s="323"/>
      <c r="AE544" s="323"/>
      <c r="AF544" s="323"/>
      <c r="AG544" s="323"/>
      <c r="AH544" s="323"/>
      <c r="AI544" s="323"/>
      <c r="AJ544" s="323"/>
      <c r="AK544" s="323"/>
      <c r="AL544" s="323"/>
      <c r="AM544" s="323"/>
      <c r="AN544" s="323"/>
      <c r="AO544" s="323"/>
      <c r="AP544" s="323"/>
      <c r="AQ544" s="323"/>
      <c r="AR544" s="323"/>
      <c r="AS544" s="323"/>
      <c r="AT544" s="323"/>
      <c r="AU544" s="323"/>
      <c r="AV544" s="323"/>
      <c r="AW544" s="323"/>
      <c r="AX544" s="323"/>
      <c r="AY544" s="323"/>
      <c r="AZ544" s="323"/>
      <c r="BA544" s="323"/>
      <c r="BB544" s="323"/>
      <c r="BC544" s="323"/>
      <c r="BD544" s="323"/>
      <c r="BE544" s="323"/>
      <c r="BF544" s="323"/>
      <c r="BG544" s="323"/>
      <c r="BH544" s="323"/>
      <c r="BI544" s="323"/>
      <c r="BJ544" s="323"/>
      <c r="BK544" s="323"/>
      <c r="BL544" s="323"/>
      <c r="BM544" s="323"/>
      <c r="BN544" s="323"/>
      <c r="BO544" s="323"/>
      <c r="BP544" s="323"/>
      <c r="BQ544" s="323"/>
      <c r="BR544" s="323"/>
      <c r="BS544" s="323"/>
      <c r="BT544" s="323"/>
      <c r="BU544" s="323"/>
      <c r="BV544" s="323"/>
      <c r="BW544" s="323"/>
      <c r="BX544" s="323"/>
      <c r="BY544" s="323"/>
      <c r="BZ544" s="323"/>
      <c r="CA544" s="323"/>
      <c r="CB544" s="323"/>
      <c r="CC544" s="323"/>
      <c r="CD544" s="323"/>
      <c r="CE544" s="323"/>
      <c r="CF544" s="323"/>
      <c r="CG544" s="323"/>
      <c r="CH544" s="323"/>
      <c r="CI544" s="323"/>
      <c r="CJ544" s="323"/>
      <c r="CK544" s="323"/>
      <c r="CL544" s="323"/>
      <c r="CM544" s="323"/>
      <c r="CN544" s="323"/>
      <c r="CO544" s="323"/>
      <c r="CR544" s="323"/>
      <c r="CS544" s="323"/>
      <c r="CT544" s="323"/>
      <c r="CU544" s="323"/>
      <c r="CV544" s="323"/>
      <c r="CW544" s="323"/>
      <c r="CX544" s="323"/>
      <c r="CY544" s="323"/>
      <c r="CZ544" s="323"/>
    </row>
    <row r="545" spans="19:104" x14ac:dyDescent="0.35">
      <c r="S545" s="217"/>
      <c r="U545" s="251"/>
      <c r="V545" s="251"/>
      <c r="W545" s="323"/>
      <c r="X545" s="323"/>
      <c r="Y545" s="323"/>
      <c r="Z545" s="323"/>
      <c r="AA545" s="323"/>
      <c r="AB545" s="323"/>
      <c r="AC545" s="323"/>
      <c r="AD545" s="323"/>
      <c r="AE545" s="323"/>
      <c r="AF545" s="323"/>
      <c r="AG545" s="323"/>
      <c r="AH545" s="323"/>
      <c r="AI545" s="323"/>
      <c r="AJ545" s="323"/>
      <c r="AK545" s="323"/>
      <c r="AL545" s="323"/>
      <c r="AM545" s="323"/>
      <c r="AN545" s="323"/>
      <c r="AO545" s="323"/>
      <c r="AP545" s="323"/>
      <c r="AQ545" s="323"/>
      <c r="AR545" s="323"/>
      <c r="AS545" s="323"/>
      <c r="AT545" s="323"/>
      <c r="AU545" s="323"/>
      <c r="AV545" s="323"/>
      <c r="AW545" s="323"/>
      <c r="AX545" s="323"/>
      <c r="AY545" s="323"/>
      <c r="AZ545" s="323"/>
      <c r="BA545" s="323"/>
      <c r="BB545" s="323"/>
      <c r="BC545" s="323"/>
      <c r="BD545" s="323"/>
      <c r="BE545" s="323"/>
      <c r="BF545" s="323"/>
      <c r="BG545" s="323"/>
      <c r="BH545" s="323"/>
      <c r="BI545" s="323"/>
      <c r="BJ545" s="323"/>
      <c r="BK545" s="323"/>
      <c r="BL545" s="323"/>
      <c r="BM545" s="323"/>
      <c r="BN545" s="323"/>
      <c r="BO545" s="323"/>
      <c r="BP545" s="323"/>
      <c r="BQ545" s="323"/>
      <c r="BR545" s="323"/>
      <c r="BS545" s="323"/>
      <c r="BT545" s="323"/>
      <c r="BU545" s="323"/>
      <c r="BV545" s="323"/>
      <c r="BW545" s="323"/>
      <c r="BX545" s="323"/>
      <c r="BY545" s="323"/>
      <c r="BZ545" s="323"/>
      <c r="CA545" s="323"/>
      <c r="CB545" s="323"/>
      <c r="CC545" s="323"/>
      <c r="CD545" s="323"/>
      <c r="CE545" s="323"/>
      <c r="CF545" s="323"/>
      <c r="CG545" s="323"/>
      <c r="CH545" s="323"/>
      <c r="CI545" s="323"/>
      <c r="CJ545" s="323"/>
      <c r="CK545" s="323"/>
      <c r="CL545" s="323"/>
      <c r="CM545" s="323"/>
      <c r="CN545" s="323"/>
      <c r="CO545" s="323"/>
      <c r="CP545" s="323"/>
      <c r="CQ545" s="323"/>
      <c r="CR545" s="323"/>
      <c r="CS545" s="323"/>
      <c r="CT545" s="323"/>
      <c r="CU545" s="323"/>
      <c r="CV545" s="323"/>
      <c r="CW545" s="323"/>
      <c r="CX545" s="323"/>
      <c r="CY545" s="323"/>
      <c r="CZ545" s="323"/>
    </row>
    <row r="546" spans="19:104" x14ac:dyDescent="0.35">
      <c r="S546" s="217"/>
      <c r="U546" s="251"/>
      <c r="V546" s="251"/>
      <c r="W546" s="323"/>
      <c r="X546" s="323"/>
      <c r="Y546" s="323"/>
      <c r="Z546" s="323"/>
      <c r="AA546" s="323"/>
      <c r="AB546" s="323"/>
      <c r="AC546" s="323"/>
      <c r="AD546" s="323"/>
      <c r="AE546" s="323"/>
      <c r="AF546" s="323"/>
      <c r="AG546" s="323"/>
      <c r="AH546" s="323"/>
      <c r="AI546" s="323"/>
      <c r="AJ546" s="323"/>
      <c r="AK546" s="323"/>
      <c r="AL546" s="323"/>
      <c r="AM546" s="323"/>
      <c r="AN546" s="323"/>
      <c r="AO546" s="323"/>
      <c r="AP546" s="323"/>
      <c r="AQ546" s="323"/>
      <c r="AR546" s="323"/>
      <c r="AS546" s="323"/>
      <c r="AT546" s="323"/>
      <c r="AU546" s="323"/>
      <c r="AV546" s="323"/>
      <c r="AW546" s="323"/>
      <c r="AX546" s="323"/>
      <c r="AY546" s="323"/>
      <c r="AZ546" s="323"/>
      <c r="BA546" s="323"/>
      <c r="BB546" s="323"/>
      <c r="BC546" s="323"/>
      <c r="BD546" s="323"/>
      <c r="BE546" s="323"/>
      <c r="BF546" s="323"/>
      <c r="BG546" s="323"/>
      <c r="BH546" s="323"/>
      <c r="BI546" s="323"/>
      <c r="BJ546" s="323"/>
      <c r="BK546" s="323"/>
      <c r="BL546" s="323"/>
      <c r="BM546" s="323"/>
      <c r="BN546" s="323"/>
      <c r="BO546" s="323"/>
      <c r="BP546" s="323"/>
      <c r="BQ546" s="323"/>
      <c r="BR546" s="323"/>
      <c r="BS546" s="323"/>
      <c r="BT546" s="323"/>
      <c r="BU546" s="323"/>
      <c r="BV546" s="323"/>
      <c r="BW546" s="323"/>
      <c r="BX546" s="323"/>
      <c r="BY546" s="323"/>
      <c r="BZ546" s="323"/>
      <c r="CA546" s="323"/>
      <c r="CB546" s="323"/>
      <c r="CC546" s="323"/>
      <c r="CD546" s="323"/>
      <c r="CE546" s="323"/>
      <c r="CF546" s="323"/>
      <c r="CG546" s="323"/>
      <c r="CH546" s="323"/>
      <c r="CI546" s="323"/>
      <c r="CJ546" s="323"/>
      <c r="CK546" s="323"/>
      <c r="CL546" s="323"/>
      <c r="CM546" s="323"/>
      <c r="CN546" s="323"/>
      <c r="CO546" s="323"/>
      <c r="CP546" s="323"/>
      <c r="CQ546" s="323"/>
      <c r="CR546" s="323"/>
      <c r="CS546" s="323"/>
      <c r="CT546" s="323"/>
      <c r="CU546" s="323"/>
      <c r="CV546" s="323"/>
      <c r="CW546" s="323"/>
      <c r="CX546" s="323"/>
      <c r="CY546" s="323"/>
      <c r="CZ546" s="323"/>
    </row>
    <row r="547" spans="19:104" x14ac:dyDescent="0.35">
      <c r="S547" s="217"/>
      <c r="U547" s="251"/>
      <c r="V547" s="251"/>
      <c r="W547" s="323"/>
      <c r="X547" s="323"/>
      <c r="Y547" s="323"/>
      <c r="Z547" s="323"/>
      <c r="AA547" s="323"/>
      <c r="AB547" s="323"/>
      <c r="AC547" s="323"/>
      <c r="AD547" s="323"/>
      <c r="AE547" s="323"/>
      <c r="AF547" s="323"/>
      <c r="AG547" s="323"/>
      <c r="AH547" s="323"/>
      <c r="AI547" s="323"/>
      <c r="AJ547" s="323"/>
      <c r="AK547" s="323"/>
      <c r="AL547" s="323"/>
      <c r="AM547" s="323"/>
      <c r="AN547" s="323"/>
      <c r="AO547" s="323"/>
      <c r="AP547" s="323"/>
      <c r="AQ547" s="323"/>
      <c r="AR547" s="323"/>
      <c r="AS547" s="323"/>
      <c r="AT547" s="323"/>
      <c r="AU547" s="323"/>
      <c r="AV547" s="323"/>
      <c r="AW547" s="323"/>
      <c r="AX547" s="323"/>
      <c r="AY547" s="323"/>
      <c r="AZ547" s="323"/>
      <c r="BA547" s="323"/>
      <c r="BB547" s="323"/>
      <c r="BC547" s="323"/>
      <c r="BD547" s="323"/>
      <c r="BE547" s="323"/>
      <c r="BF547" s="323"/>
      <c r="BG547" s="323"/>
      <c r="BH547" s="323"/>
      <c r="BI547" s="323"/>
      <c r="BJ547" s="323"/>
      <c r="BK547" s="323"/>
      <c r="BL547" s="323"/>
      <c r="BM547" s="323"/>
      <c r="BN547" s="323"/>
      <c r="BO547" s="323"/>
      <c r="BP547" s="323"/>
      <c r="BQ547" s="323"/>
      <c r="BR547" s="323"/>
      <c r="BS547" s="323"/>
      <c r="BT547" s="323"/>
      <c r="BU547" s="323"/>
      <c r="BV547" s="323"/>
      <c r="BW547" s="323"/>
      <c r="BX547" s="323"/>
      <c r="BY547" s="323"/>
      <c r="BZ547" s="323"/>
      <c r="CA547" s="323"/>
      <c r="CB547" s="323"/>
      <c r="CC547" s="323"/>
      <c r="CD547" s="323"/>
      <c r="CE547" s="323"/>
      <c r="CF547" s="323"/>
      <c r="CG547" s="323"/>
      <c r="CH547" s="323"/>
      <c r="CI547" s="323"/>
      <c r="CJ547" s="323"/>
      <c r="CK547" s="323"/>
      <c r="CL547" s="323"/>
      <c r="CM547" s="323"/>
      <c r="CN547" s="323"/>
      <c r="CO547" s="323"/>
      <c r="CP547" s="323"/>
      <c r="CQ547" s="323"/>
      <c r="CR547" s="323"/>
      <c r="CS547" s="323"/>
      <c r="CT547" s="323"/>
      <c r="CU547" s="323"/>
      <c r="CV547" s="323"/>
      <c r="CW547" s="323"/>
      <c r="CX547" s="323"/>
      <c r="CY547" s="323"/>
      <c r="CZ547" s="323"/>
    </row>
    <row r="548" spans="19:104" x14ac:dyDescent="0.35">
      <c r="S548" s="217"/>
      <c r="U548" s="251"/>
      <c r="V548" s="251"/>
      <c r="W548" s="323"/>
      <c r="X548" s="323"/>
      <c r="Y548" s="323"/>
      <c r="Z548" s="323"/>
      <c r="AA548" s="323"/>
      <c r="AB548" s="323"/>
      <c r="AC548" s="323"/>
      <c r="AD548" s="323"/>
      <c r="AE548" s="323"/>
      <c r="AF548" s="323"/>
      <c r="AG548" s="323"/>
      <c r="AH548" s="323"/>
      <c r="AI548" s="323"/>
      <c r="AJ548" s="323"/>
      <c r="AK548" s="323"/>
      <c r="AL548" s="323"/>
      <c r="AM548" s="323"/>
      <c r="AN548" s="323"/>
      <c r="AO548" s="323"/>
      <c r="AP548" s="323"/>
      <c r="AQ548" s="323"/>
      <c r="AR548" s="323"/>
      <c r="AS548" s="323"/>
      <c r="AT548" s="323"/>
      <c r="AU548" s="323"/>
      <c r="AV548" s="323"/>
      <c r="AW548" s="323"/>
      <c r="AX548" s="323"/>
      <c r="AY548" s="323"/>
      <c r="AZ548" s="323"/>
      <c r="BA548" s="323"/>
      <c r="BB548" s="323"/>
      <c r="BC548" s="323"/>
      <c r="BD548" s="323"/>
      <c r="BE548" s="323"/>
      <c r="BF548" s="323"/>
      <c r="BG548" s="323"/>
      <c r="BH548" s="323"/>
      <c r="BI548" s="323"/>
      <c r="BJ548" s="323"/>
      <c r="BK548" s="323"/>
      <c r="BL548" s="323"/>
      <c r="BM548" s="323"/>
      <c r="BN548" s="323"/>
      <c r="BO548" s="323"/>
      <c r="BP548" s="323"/>
      <c r="BQ548" s="323"/>
      <c r="BR548" s="323"/>
      <c r="BS548" s="323"/>
      <c r="BT548" s="323"/>
      <c r="BU548" s="323"/>
      <c r="BV548" s="323"/>
      <c r="BW548" s="323"/>
      <c r="BX548" s="323"/>
      <c r="BY548" s="323"/>
      <c r="BZ548" s="323"/>
      <c r="CA548" s="323"/>
      <c r="CB548" s="323"/>
      <c r="CC548" s="323"/>
      <c r="CD548" s="323"/>
      <c r="CE548" s="323"/>
      <c r="CF548" s="323"/>
      <c r="CG548" s="323"/>
      <c r="CH548" s="323"/>
      <c r="CI548" s="323"/>
      <c r="CJ548" s="323"/>
      <c r="CK548" s="323"/>
      <c r="CL548" s="323"/>
      <c r="CM548" s="323"/>
      <c r="CN548" s="323"/>
      <c r="CO548" s="323"/>
      <c r="CP548" s="323"/>
      <c r="CQ548" s="323"/>
      <c r="CR548" s="323"/>
      <c r="CS548" s="323"/>
      <c r="CT548" s="323"/>
      <c r="CU548" s="323"/>
      <c r="CV548" s="323"/>
      <c r="CW548" s="323"/>
      <c r="CX548" s="323"/>
      <c r="CY548" s="323"/>
      <c r="CZ548" s="323"/>
    </row>
    <row r="549" spans="19:104" x14ac:dyDescent="0.35">
      <c r="S549" s="217"/>
      <c r="U549" s="251"/>
      <c r="V549" s="251"/>
      <c r="W549" s="323"/>
      <c r="X549" s="323"/>
      <c r="Y549" s="323"/>
      <c r="Z549" s="323"/>
      <c r="AA549" s="323"/>
      <c r="AB549" s="323"/>
      <c r="AC549" s="323"/>
      <c r="AD549" s="323"/>
      <c r="AE549" s="323"/>
      <c r="AF549" s="323"/>
      <c r="AG549" s="323"/>
      <c r="AH549" s="323"/>
      <c r="AI549" s="323"/>
      <c r="AJ549" s="323"/>
      <c r="AK549" s="323"/>
      <c r="AL549" s="323"/>
      <c r="AM549" s="323"/>
      <c r="AN549" s="323"/>
      <c r="AO549" s="323"/>
      <c r="AP549" s="323"/>
      <c r="AQ549" s="323"/>
      <c r="AR549" s="323"/>
      <c r="AS549" s="323"/>
      <c r="AT549" s="323"/>
      <c r="AU549" s="323"/>
      <c r="AV549" s="323"/>
      <c r="AW549" s="323"/>
      <c r="AX549" s="323"/>
      <c r="AY549" s="323"/>
      <c r="AZ549" s="323"/>
      <c r="BA549" s="323"/>
      <c r="BB549" s="323"/>
      <c r="BC549" s="323"/>
      <c r="BD549" s="323"/>
      <c r="BE549" s="323"/>
      <c r="BF549" s="323"/>
      <c r="BG549" s="323"/>
      <c r="BH549" s="323"/>
      <c r="BI549" s="323"/>
      <c r="BJ549" s="323"/>
      <c r="BK549" s="323"/>
      <c r="BL549" s="323"/>
      <c r="BM549" s="323"/>
      <c r="BN549" s="323"/>
      <c r="BO549" s="323"/>
      <c r="BP549" s="323"/>
      <c r="BQ549" s="323"/>
      <c r="BR549" s="323"/>
      <c r="BS549" s="323"/>
      <c r="BT549" s="323"/>
      <c r="BU549" s="323"/>
      <c r="BV549" s="323"/>
      <c r="BW549" s="323"/>
      <c r="BX549" s="323"/>
      <c r="BY549" s="323"/>
      <c r="BZ549" s="323"/>
      <c r="CA549" s="323"/>
      <c r="CB549" s="323"/>
      <c r="CC549" s="323"/>
      <c r="CD549" s="323"/>
      <c r="CE549" s="323"/>
      <c r="CF549" s="323"/>
      <c r="CG549" s="323"/>
      <c r="CH549" s="323"/>
      <c r="CI549" s="323"/>
      <c r="CJ549" s="323"/>
      <c r="CK549" s="323"/>
      <c r="CL549" s="323"/>
      <c r="CM549" s="323"/>
      <c r="CN549" s="323"/>
      <c r="CO549" s="323"/>
      <c r="CP549" s="323"/>
      <c r="CQ549" s="323"/>
      <c r="CR549" s="323"/>
      <c r="CS549" s="323"/>
      <c r="CT549" s="323"/>
      <c r="CU549" s="323"/>
      <c r="CV549" s="323"/>
      <c r="CW549" s="323"/>
      <c r="CX549" s="323"/>
      <c r="CY549" s="323"/>
      <c r="CZ549" s="323"/>
    </row>
    <row r="550" spans="19:104" x14ac:dyDescent="0.35">
      <c r="S550" s="217"/>
      <c r="U550" s="251"/>
      <c r="V550" s="251"/>
      <c r="W550" s="323"/>
      <c r="X550" s="323"/>
      <c r="Y550" s="323"/>
      <c r="Z550" s="323"/>
      <c r="AA550" s="323"/>
      <c r="AB550" s="323"/>
      <c r="AC550" s="323"/>
      <c r="AD550" s="323"/>
      <c r="AE550" s="323"/>
      <c r="AF550" s="323"/>
      <c r="AG550" s="323"/>
      <c r="AH550" s="323"/>
      <c r="AI550" s="323"/>
      <c r="AJ550" s="323"/>
      <c r="AK550" s="323"/>
      <c r="AL550" s="323"/>
      <c r="AM550" s="323"/>
      <c r="AN550" s="323"/>
      <c r="AO550" s="323"/>
      <c r="AP550" s="323"/>
      <c r="AQ550" s="323"/>
      <c r="AR550" s="323"/>
      <c r="AS550" s="323"/>
      <c r="AT550" s="323"/>
      <c r="AU550" s="323"/>
      <c r="AV550" s="323"/>
      <c r="AW550" s="323"/>
      <c r="AX550" s="323"/>
      <c r="AY550" s="323"/>
      <c r="AZ550" s="323"/>
      <c r="BA550" s="323"/>
      <c r="BB550" s="323"/>
      <c r="BC550" s="323"/>
      <c r="BD550" s="323"/>
      <c r="BE550" s="323"/>
      <c r="BF550" s="323"/>
      <c r="BG550" s="323"/>
      <c r="BH550" s="323"/>
      <c r="BI550" s="323"/>
      <c r="BJ550" s="323"/>
      <c r="BK550" s="323"/>
      <c r="BL550" s="323"/>
      <c r="BM550" s="323"/>
      <c r="BN550" s="323"/>
      <c r="BO550" s="323"/>
      <c r="BP550" s="323"/>
      <c r="BQ550" s="323"/>
      <c r="BR550" s="323"/>
      <c r="BS550" s="323"/>
      <c r="BT550" s="323"/>
      <c r="BU550" s="323"/>
      <c r="BV550" s="323"/>
      <c r="BW550" s="323"/>
      <c r="BX550" s="323"/>
      <c r="BY550" s="323"/>
      <c r="BZ550" s="323"/>
      <c r="CA550" s="323"/>
      <c r="CB550" s="323"/>
      <c r="CC550" s="323"/>
      <c r="CD550" s="323"/>
      <c r="CE550" s="323"/>
      <c r="CF550" s="323"/>
      <c r="CG550" s="323"/>
      <c r="CH550" s="323"/>
      <c r="CI550" s="323"/>
      <c r="CJ550" s="323"/>
      <c r="CK550" s="323"/>
      <c r="CL550" s="323"/>
      <c r="CM550" s="323"/>
      <c r="CN550" s="323"/>
      <c r="CO550" s="323"/>
      <c r="CP550" s="323"/>
      <c r="CQ550" s="323"/>
      <c r="CR550" s="323"/>
      <c r="CS550" s="323"/>
      <c r="CT550" s="323"/>
      <c r="CU550" s="323"/>
      <c r="CV550" s="323"/>
      <c r="CW550" s="323"/>
      <c r="CX550" s="323"/>
      <c r="CY550" s="323"/>
      <c r="CZ550" s="323"/>
    </row>
    <row r="551" spans="19:104" x14ac:dyDescent="0.35">
      <c r="S551" s="217"/>
      <c r="U551" s="251"/>
      <c r="V551" s="251"/>
      <c r="W551" s="323"/>
      <c r="X551" s="323"/>
      <c r="Y551" s="323"/>
      <c r="Z551" s="323"/>
      <c r="AA551" s="323"/>
      <c r="AB551" s="323"/>
      <c r="AC551" s="323"/>
      <c r="AD551" s="323"/>
      <c r="AE551" s="323"/>
      <c r="AF551" s="323"/>
      <c r="AG551" s="323"/>
      <c r="AH551" s="323"/>
      <c r="AI551" s="323"/>
      <c r="AJ551" s="323"/>
      <c r="AK551" s="323"/>
      <c r="AL551" s="323"/>
      <c r="AM551" s="323"/>
      <c r="AN551" s="323"/>
      <c r="AO551" s="323"/>
      <c r="AP551" s="323"/>
      <c r="AQ551" s="323"/>
      <c r="AR551" s="323"/>
      <c r="AS551" s="323"/>
      <c r="AT551" s="323"/>
      <c r="AU551" s="323"/>
      <c r="AV551" s="323"/>
      <c r="AW551" s="323"/>
      <c r="AX551" s="323"/>
      <c r="AY551" s="323"/>
      <c r="AZ551" s="323"/>
      <c r="BA551" s="323"/>
      <c r="BB551" s="323"/>
      <c r="BC551" s="323"/>
      <c r="BD551" s="323"/>
      <c r="BE551" s="323"/>
      <c r="BF551" s="323"/>
      <c r="BG551" s="323"/>
      <c r="BH551" s="323"/>
      <c r="BI551" s="323"/>
      <c r="BJ551" s="323"/>
      <c r="BK551" s="323"/>
      <c r="BL551" s="323"/>
      <c r="BM551" s="323"/>
      <c r="BN551" s="323"/>
      <c r="BO551" s="323"/>
      <c r="BP551" s="323"/>
      <c r="BQ551" s="323"/>
      <c r="BR551" s="323"/>
      <c r="BS551" s="323"/>
      <c r="BT551" s="323"/>
      <c r="BU551" s="323"/>
      <c r="BV551" s="323"/>
      <c r="BW551" s="323"/>
      <c r="BX551" s="323"/>
      <c r="BY551" s="323"/>
      <c r="BZ551" s="323"/>
      <c r="CA551" s="323"/>
      <c r="CB551" s="323"/>
      <c r="CC551" s="323"/>
      <c r="CD551" s="323"/>
      <c r="CE551" s="323"/>
      <c r="CF551" s="323"/>
      <c r="CG551" s="323"/>
      <c r="CH551" s="323"/>
      <c r="CI551" s="323"/>
      <c r="CJ551" s="323"/>
      <c r="CK551" s="323"/>
      <c r="CL551" s="323"/>
      <c r="CM551" s="323"/>
      <c r="CN551" s="323"/>
      <c r="CO551" s="323"/>
      <c r="CP551" s="323"/>
      <c r="CQ551" s="323"/>
      <c r="CR551" s="323"/>
      <c r="CS551" s="323"/>
      <c r="CT551" s="323"/>
      <c r="CU551" s="323"/>
      <c r="CV551" s="323"/>
      <c r="CW551" s="323"/>
      <c r="CX551" s="323"/>
      <c r="CY551" s="323"/>
      <c r="CZ551" s="323"/>
    </row>
    <row r="552" spans="19:104" x14ac:dyDescent="0.35">
      <c r="S552" s="217"/>
      <c r="U552" s="251"/>
      <c r="V552" s="251"/>
      <c r="W552" s="323"/>
      <c r="X552" s="323"/>
      <c r="Y552" s="323"/>
      <c r="Z552" s="323"/>
      <c r="AA552" s="323"/>
      <c r="AB552" s="323"/>
      <c r="AC552" s="323"/>
      <c r="AD552" s="323"/>
      <c r="AE552" s="323"/>
      <c r="AF552" s="323"/>
      <c r="AG552" s="323"/>
      <c r="AH552" s="323"/>
      <c r="AI552" s="323"/>
      <c r="AJ552" s="323"/>
      <c r="AK552" s="323"/>
      <c r="AL552" s="323"/>
      <c r="AM552" s="323"/>
      <c r="AN552" s="323"/>
      <c r="AO552" s="323"/>
      <c r="AP552" s="323"/>
      <c r="AQ552" s="323"/>
      <c r="AR552" s="323"/>
      <c r="AS552" s="323"/>
      <c r="AT552" s="323"/>
      <c r="AU552" s="323"/>
      <c r="AV552" s="323"/>
      <c r="AW552" s="323"/>
      <c r="AX552" s="323"/>
      <c r="AY552" s="323"/>
      <c r="AZ552" s="323"/>
      <c r="BA552" s="323"/>
      <c r="BB552" s="323"/>
      <c r="BC552" s="323"/>
      <c r="BD552" s="323"/>
      <c r="BE552" s="323"/>
      <c r="BF552" s="323"/>
      <c r="BG552" s="323"/>
      <c r="BH552" s="323"/>
      <c r="BI552" s="323"/>
      <c r="BJ552" s="323"/>
      <c r="BK552" s="323"/>
      <c r="BL552" s="323"/>
      <c r="BM552" s="323"/>
      <c r="BN552" s="323"/>
      <c r="BO552" s="323"/>
      <c r="BP552" s="323"/>
      <c r="BQ552" s="323"/>
      <c r="BR552" s="323"/>
      <c r="BS552" s="323"/>
      <c r="BT552" s="323"/>
      <c r="BU552" s="323"/>
      <c r="BV552" s="323"/>
      <c r="BW552" s="323"/>
      <c r="BX552" s="323"/>
      <c r="BY552" s="323"/>
      <c r="BZ552" s="323"/>
      <c r="CA552" s="323"/>
      <c r="CB552" s="323"/>
      <c r="CC552" s="323"/>
      <c r="CD552" s="323"/>
      <c r="CE552" s="323"/>
      <c r="CF552" s="323"/>
      <c r="CG552" s="323"/>
      <c r="CH552" s="323"/>
      <c r="CI552" s="323"/>
      <c r="CJ552" s="323"/>
      <c r="CK552" s="323"/>
      <c r="CL552" s="323"/>
      <c r="CM552" s="323"/>
      <c r="CN552" s="323"/>
      <c r="CO552" s="323"/>
      <c r="CP552" s="323"/>
      <c r="CQ552" s="323"/>
      <c r="CR552" s="323"/>
      <c r="CS552" s="323"/>
      <c r="CT552" s="323"/>
      <c r="CU552" s="323"/>
      <c r="CV552" s="323"/>
      <c r="CW552" s="323"/>
      <c r="CX552" s="323"/>
      <c r="CY552" s="323"/>
      <c r="CZ552" s="323"/>
    </row>
    <row r="553" spans="19:104" x14ac:dyDescent="0.35">
      <c r="S553" s="217"/>
      <c r="U553" s="251"/>
      <c r="V553" s="251"/>
      <c r="W553" s="323"/>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c r="AS553" s="323"/>
      <c r="AT553" s="323"/>
      <c r="AU553" s="323"/>
      <c r="AV553" s="323"/>
      <c r="AW553" s="323"/>
      <c r="AX553" s="323"/>
      <c r="AY553" s="323"/>
      <c r="AZ553" s="323"/>
      <c r="BA553" s="323"/>
      <c r="BB553" s="323"/>
      <c r="BC553" s="323"/>
      <c r="BD553" s="323"/>
      <c r="BE553" s="323"/>
      <c r="BF553" s="323"/>
      <c r="BG553" s="323"/>
      <c r="BH553" s="323"/>
      <c r="BI553" s="323"/>
      <c r="BJ553" s="323"/>
      <c r="BK553" s="323"/>
      <c r="BL553" s="323"/>
      <c r="BM553" s="323"/>
      <c r="BN553" s="323"/>
      <c r="BO553" s="323"/>
      <c r="BP553" s="323"/>
      <c r="BQ553" s="323"/>
      <c r="BR553" s="323"/>
      <c r="BS553" s="323"/>
      <c r="BT553" s="323"/>
      <c r="BU553" s="323"/>
      <c r="BV553" s="323"/>
      <c r="BW553" s="323"/>
      <c r="BX553" s="323"/>
      <c r="BY553" s="323"/>
      <c r="BZ553" s="323"/>
      <c r="CA553" s="323"/>
      <c r="CB553" s="323"/>
      <c r="CC553" s="323"/>
      <c r="CD553" s="323"/>
      <c r="CE553" s="323"/>
      <c r="CF553" s="323"/>
      <c r="CG553" s="323"/>
      <c r="CH553" s="323"/>
      <c r="CI553" s="323"/>
      <c r="CJ553" s="323"/>
      <c r="CK553" s="323"/>
      <c r="CL553" s="323"/>
      <c r="CM553" s="323"/>
      <c r="CN553" s="323"/>
      <c r="CO553" s="323"/>
      <c r="CP553" s="323"/>
      <c r="CQ553" s="323"/>
      <c r="CR553" s="323"/>
      <c r="CS553" s="323"/>
      <c r="CT553" s="323"/>
      <c r="CU553" s="323"/>
      <c r="CV553" s="323"/>
      <c r="CW553" s="323"/>
      <c r="CX553" s="323"/>
      <c r="CY553" s="323"/>
      <c r="CZ553" s="323"/>
    </row>
    <row r="554" spans="19:104" x14ac:dyDescent="0.35">
      <c r="S554" s="217"/>
      <c r="U554" s="251"/>
      <c r="V554" s="251"/>
      <c r="W554" s="323"/>
      <c r="X554" s="323"/>
      <c r="Y554" s="323"/>
      <c r="Z554" s="323"/>
      <c r="AA554" s="323"/>
      <c r="AB554" s="323"/>
      <c r="AC554" s="323"/>
      <c r="AD554" s="323"/>
      <c r="AE554" s="323"/>
      <c r="AF554" s="323"/>
      <c r="AG554" s="323"/>
      <c r="AH554" s="323"/>
      <c r="AI554" s="323"/>
      <c r="AJ554" s="323"/>
      <c r="AK554" s="323"/>
      <c r="AL554" s="323"/>
      <c r="AM554" s="323"/>
      <c r="AN554" s="323"/>
      <c r="AO554" s="323"/>
      <c r="AP554" s="323"/>
      <c r="AQ554" s="323"/>
      <c r="AR554" s="323"/>
      <c r="AS554" s="323"/>
      <c r="AT554" s="323"/>
      <c r="AU554" s="323"/>
      <c r="AV554" s="323"/>
      <c r="AW554" s="323"/>
      <c r="AX554" s="323"/>
      <c r="AY554" s="323"/>
      <c r="AZ554" s="323"/>
      <c r="BA554" s="323"/>
      <c r="BB554" s="323"/>
      <c r="BC554" s="323"/>
      <c r="BD554" s="323"/>
      <c r="BE554" s="323"/>
      <c r="BF554" s="323"/>
      <c r="BG554" s="323"/>
      <c r="BH554" s="323"/>
      <c r="BI554" s="323"/>
      <c r="BJ554" s="323"/>
      <c r="BK554" s="323"/>
      <c r="BL554" s="323"/>
      <c r="BM554" s="323"/>
      <c r="BN554" s="323"/>
      <c r="BO554" s="323"/>
      <c r="BP554" s="323"/>
      <c r="BQ554" s="323"/>
      <c r="BR554" s="323"/>
      <c r="BS554" s="323"/>
      <c r="BT554" s="323"/>
      <c r="BU554" s="323"/>
      <c r="BV554" s="323"/>
      <c r="BW554" s="323"/>
      <c r="BX554" s="323"/>
      <c r="BY554" s="323"/>
      <c r="BZ554" s="323"/>
      <c r="CA554" s="323"/>
      <c r="CB554" s="323"/>
      <c r="CC554" s="323"/>
      <c r="CD554" s="323"/>
      <c r="CE554" s="323"/>
      <c r="CF554" s="323"/>
      <c r="CG554" s="323"/>
      <c r="CH554" s="323"/>
      <c r="CI554" s="323"/>
      <c r="CJ554" s="323"/>
      <c r="CK554" s="323"/>
      <c r="CL554" s="323"/>
      <c r="CM554" s="323"/>
      <c r="CN554" s="323"/>
      <c r="CO554" s="323"/>
      <c r="CP554" s="323"/>
      <c r="CQ554" s="323"/>
      <c r="CR554" s="323"/>
      <c r="CS554" s="323"/>
      <c r="CT554" s="323"/>
      <c r="CU554" s="323"/>
      <c r="CV554" s="323"/>
      <c r="CW554" s="323"/>
      <c r="CX554" s="323"/>
      <c r="CY554" s="323"/>
      <c r="CZ554" s="323"/>
    </row>
    <row r="555" spans="19:104" x14ac:dyDescent="0.35">
      <c r="S555" s="217"/>
      <c r="U555" s="251"/>
      <c r="V555" s="251"/>
      <c r="W555" s="323"/>
      <c r="X555" s="323"/>
      <c r="Y555" s="323"/>
      <c r="Z555" s="323"/>
      <c r="AA555" s="323"/>
      <c r="AB555" s="323"/>
      <c r="AC555" s="323"/>
      <c r="AD555" s="323"/>
      <c r="AE555" s="323"/>
      <c r="AF555" s="323"/>
      <c r="AG555" s="323"/>
      <c r="AH555" s="323"/>
      <c r="AI555" s="323"/>
      <c r="AJ555" s="323"/>
      <c r="AK555" s="323"/>
      <c r="AL555" s="323"/>
      <c r="AM555" s="323"/>
      <c r="AN555" s="323"/>
      <c r="AO555" s="323"/>
      <c r="AP555" s="323"/>
      <c r="AQ555" s="323"/>
      <c r="AR555" s="323"/>
      <c r="AS555" s="323"/>
      <c r="AT555" s="323"/>
      <c r="AU555" s="323"/>
      <c r="AV555" s="323"/>
      <c r="AW555" s="323"/>
      <c r="AX555" s="323"/>
      <c r="AY555" s="323"/>
      <c r="AZ555" s="323"/>
      <c r="BA555" s="323"/>
      <c r="BB555" s="323"/>
      <c r="BC555" s="323"/>
      <c r="BD555" s="323"/>
      <c r="BE555" s="323"/>
      <c r="BF555" s="323"/>
      <c r="BG555" s="323"/>
      <c r="BH555" s="323"/>
      <c r="BI555" s="323"/>
      <c r="BJ555" s="323"/>
      <c r="BK555" s="323"/>
      <c r="BL555" s="323"/>
      <c r="BM555" s="323"/>
      <c r="BN555" s="323"/>
      <c r="BO555" s="323"/>
      <c r="BP555" s="323"/>
      <c r="BQ555" s="323"/>
      <c r="BR555" s="323"/>
      <c r="BS555" s="323"/>
      <c r="BT555" s="323"/>
      <c r="BU555" s="323"/>
      <c r="BV555" s="323"/>
      <c r="BW555" s="323"/>
      <c r="BX555" s="323"/>
      <c r="BY555" s="323"/>
      <c r="BZ555" s="323"/>
      <c r="CA555" s="323"/>
      <c r="CB555" s="323"/>
      <c r="CC555" s="323"/>
      <c r="CD555" s="323"/>
      <c r="CE555" s="323"/>
      <c r="CF555" s="323"/>
      <c r="CG555" s="323"/>
      <c r="CH555" s="323"/>
      <c r="CI555" s="323"/>
      <c r="CJ555" s="323"/>
      <c r="CK555" s="323"/>
      <c r="CL555" s="323"/>
      <c r="CM555" s="323"/>
      <c r="CN555" s="323"/>
      <c r="CO555" s="323"/>
      <c r="CP555" s="323"/>
      <c r="CQ555" s="323"/>
      <c r="CR555" s="323"/>
      <c r="CS555" s="323"/>
      <c r="CT555" s="323"/>
      <c r="CU555" s="323"/>
      <c r="CV555" s="323"/>
      <c r="CW555" s="323"/>
      <c r="CX555" s="323"/>
      <c r="CY555" s="323"/>
      <c r="CZ555" s="323"/>
    </row>
    <row r="556" spans="19:104" x14ac:dyDescent="0.35">
      <c r="S556" s="217"/>
      <c r="U556" s="251"/>
      <c r="V556" s="251"/>
      <c r="W556" s="323"/>
      <c r="X556" s="323"/>
      <c r="Y556" s="323"/>
      <c r="Z556" s="323"/>
      <c r="AA556" s="323"/>
      <c r="AB556" s="323"/>
      <c r="AC556" s="323"/>
      <c r="AD556" s="323"/>
      <c r="AE556" s="323"/>
      <c r="AF556" s="323"/>
      <c r="AG556" s="323"/>
      <c r="AH556" s="323"/>
      <c r="AI556" s="323"/>
      <c r="AJ556" s="323"/>
      <c r="AK556" s="323"/>
      <c r="AL556" s="323"/>
      <c r="AM556" s="323"/>
      <c r="AN556" s="323"/>
      <c r="AO556" s="323"/>
      <c r="AP556" s="323"/>
      <c r="AQ556" s="323"/>
      <c r="AR556" s="323"/>
      <c r="AS556" s="323"/>
      <c r="AT556" s="323"/>
      <c r="AU556" s="323"/>
      <c r="AV556" s="323"/>
      <c r="AW556" s="323"/>
      <c r="AX556" s="323"/>
      <c r="AY556" s="323"/>
      <c r="AZ556" s="323"/>
      <c r="BA556" s="323"/>
      <c r="BB556" s="323"/>
      <c r="BC556" s="323"/>
      <c r="BD556" s="323"/>
      <c r="BE556" s="323"/>
      <c r="BF556" s="323"/>
      <c r="BG556" s="323"/>
      <c r="BH556" s="323"/>
      <c r="BI556" s="323"/>
      <c r="BJ556" s="323"/>
      <c r="BK556" s="323"/>
      <c r="BL556" s="323"/>
      <c r="BM556" s="323"/>
      <c r="BN556" s="323"/>
      <c r="BO556" s="323"/>
      <c r="BP556" s="323"/>
      <c r="BQ556" s="323"/>
      <c r="BR556" s="323"/>
      <c r="BS556" s="323"/>
      <c r="BT556" s="323"/>
      <c r="BU556" s="323"/>
      <c r="BV556" s="323"/>
      <c r="BW556" s="323"/>
      <c r="BX556" s="323"/>
      <c r="BY556" s="323"/>
      <c r="BZ556" s="323"/>
      <c r="CA556" s="323"/>
      <c r="CB556" s="323"/>
      <c r="CC556" s="323"/>
      <c r="CD556" s="323"/>
      <c r="CE556" s="323"/>
      <c r="CF556" s="323"/>
      <c r="CG556" s="323"/>
      <c r="CH556" s="323"/>
      <c r="CI556" s="323"/>
      <c r="CJ556" s="323"/>
      <c r="CK556" s="323"/>
      <c r="CL556" s="323"/>
      <c r="CM556" s="323"/>
      <c r="CN556" s="323"/>
      <c r="CO556" s="323"/>
      <c r="CP556" s="323"/>
      <c r="CQ556" s="323"/>
      <c r="CR556" s="323"/>
      <c r="CS556" s="323"/>
      <c r="CT556" s="323"/>
      <c r="CU556" s="323"/>
      <c r="CV556" s="323"/>
      <c r="CW556" s="323"/>
      <c r="CX556" s="323"/>
      <c r="CY556" s="323"/>
      <c r="CZ556" s="323"/>
    </row>
    <row r="557" spans="19:104" x14ac:dyDescent="0.35">
      <c r="S557" s="217"/>
      <c r="U557" s="251"/>
      <c r="V557" s="251"/>
      <c r="W557" s="323"/>
      <c r="X557" s="323"/>
      <c r="Y557" s="323"/>
      <c r="Z557" s="323"/>
      <c r="AA557" s="323"/>
      <c r="AB557" s="323"/>
      <c r="AC557" s="323"/>
      <c r="AD557" s="323"/>
      <c r="AE557" s="323"/>
      <c r="AF557" s="323"/>
      <c r="AG557" s="323"/>
      <c r="AH557" s="323"/>
      <c r="AI557" s="323"/>
      <c r="AJ557" s="323"/>
      <c r="AK557" s="323"/>
      <c r="AL557" s="323"/>
      <c r="AM557" s="323"/>
      <c r="AN557" s="323"/>
      <c r="AO557" s="323"/>
      <c r="AP557" s="323"/>
      <c r="AQ557" s="323"/>
      <c r="AR557" s="323"/>
      <c r="AS557" s="323"/>
      <c r="AT557" s="323"/>
      <c r="AU557" s="323"/>
      <c r="AV557" s="323"/>
      <c r="AW557" s="323"/>
      <c r="AX557" s="323"/>
      <c r="AY557" s="323"/>
      <c r="AZ557" s="323"/>
      <c r="BA557" s="323"/>
      <c r="BB557" s="323"/>
      <c r="BC557" s="323"/>
      <c r="BD557" s="323"/>
      <c r="BE557" s="323"/>
      <c r="BF557" s="323"/>
      <c r="BG557" s="323"/>
      <c r="BH557" s="323"/>
      <c r="BI557" s="323"/>
      <c r="BJ557" s="323"/>
      <c r="BK557" s="323"/>
      <c r="BL557" s="323"/>
      <c r="BM557" s="323"/>
      <c r="BN557" s="323"/>
      <c r="BO557" s="323"/>
      <c r="BP557" s="323"/>
      <c r="BQ557" s="323"/>
      <c r="BR557" s="323"/>
      <c r="BS557" s="323"/>
      <c r="BT557" s="323"/>
      <c r="BU557" s="323"/>
      <c r="BV557" s="323"/>
      <c r="BW557" s="323"/>
      <c r="BX557" s="323"/>
      <c r="BY557" s="323"/>
      <c r="BZ557" s="323"/>
      <c r="CA557" s="323"/>
      <c r="CB557" s="323"/>
      <c r="CC557" s="323"/>
      <c r="CD557" s="323"/>
      <c r="CE557" s="323"/>
      <c r="CF557" s="323"/>
      <c r="CG557" s="323"/>
      <c r="CH557" s="323"/>
      <c r="CI557" s="323"/>
      <c r="CJ557" s="323"/>
      <c r="CK557" s="323"/>
      <c r="CL557" s="323"/>
      <c r="CM557" s="323"/>
      <c r="CN557" s="323"/>
      <c r="CO557" s="323"/>
      <c r="CP557" s="323"/>
      <c r="CQ557" s="323"/>
      <c r="CR557" s="323"/>
      <c r="CS557" s="323"/>
      <c r="CT557" s="323"/>
      <c r="CU557" s="323"/>
      <c r="CV557" s="323"/>
      <c r="CW557" s="323"/>
      <c r="CX557" s="323"/>
      <c r="CY557" s="323"/>
      <c r="CZ557" s="323"/>
    </row>
    <row r="558" spans="19:104" x14ac:dyDescent="0.35">
      <c r="S558" s="217"/>
      <c r="U558" s="251"/>
      <c r="V558" s="251"/>
      <c r="W558" s="323"/>
      <c r="X558" s="323"/>
      <c r="Y558" s="323"/>
      <c r="Z558" s="323"/>
      <c r="AA558" s="323"/>
      <c r="AB558" s="323"/>
      <c r="AC558" s="323"/>
      <c r="AD558" s="323"/>
      <c r="AE558" s="323"/>
      <c r="AF558" s="323"/>
      <c r="AG558" s="323"/>
      <c r="AH558" s="323"/>
      <c r="AI558" s="323"/>
      <c r="AJ558" s="323"/>
      <c r="AK558" s="323"/>
      <c r="AL558" s="323"/>
      <c r="AM558" s="323"/>
      <c r="AN558" s="323"/>
      <c r="AO558" s="323"/>
      <c r="AP558" s="323"/>
      <c r="AQ558" s="323"/>
      <c r="AR558" s="323"/>
      <c r="AS558" s="323"/>
      <c r="AT558" s="323"/>
      <c r="AU558" s="323"/>
      <c r="AV558" s="323"/>
      <c r="AW558" s="323"/>
      <c r="AX558" s="323"/>
      <c r="AY558" s="323"/>
      <c r="AZ558" s="323"/>
      <c r="BA558" s="323"/>
      <c r="BB558" s="323"/>
      <c r="BC558" s="323"/>
      <c r="BD558" s="323"/>
      <c r="BE558" s="323"/>
      <c r="BF558" s="323"/>
      <c r="BG558" s="323"/>
      <c r="BH558" s="323"/>
      <c r="BI558" s="323"/>
      <c r="BJ558" s="323"/>
      <c r="BK558" s="323"/>
      <c r="BL558" s="323"/>
      <c r="BM558" s="323"/>
      <c r="BN558" s="323"/>
      <c r="BO558" s="323"/>
      <c r="BP558" s="323"/>
      <c r="BQ558" s="323"/>
      <c r="BR558" s="323"/>
      <c r="BS558" s="323"/>
      <c r="BT558" s="323"/>
      <c r="BU558" s="323"/>
      <c r="BV558" s="323"/>
      <c r="BW558" s="323"/>
      <c r="BX558" s="323"/>
      <c r="BY558" s="323"/>
      <c r="BZ558" s="323"/>
      <c r="CA558" s="323"/>
      <c r="CB558" s="323"/>
      <c r="CC558" s="323"/>
      <c r="CD558" s="323"/>
      <c r="CE558" s="323"/>
      <c r="CF558" s="323"/>
      <c r="CG558" s="323"/>
      <c r="CH558" s="323"/>
      <c r="CI558" s="323"/>
      <c r="CJ558" s="323"/>
      <c r="CK558" s="323"/>
      <c r="CL558" s="323"/>
      <c r="CM558" s="323"/>
      <c r="CN558" s="323"/>
      <c r="CO558" s="323"/>
      <c r="CP558" s="323"/>
      <c r="CQ558" s="323"/>
      <c r="CR558" s="323"/>
      <c r="CS558" s="323"/>
      <c r="CT558" s="323"/>
      <c r="CU558" s="323"/>
      <c r="CV558" s="323"/>
      <c r="CW558" s="323"/>
      <c r="CX558" s="323"/>
      <c r="CY558" s="323"/>
      <c r="CZ558" s="323"/>
    </row>
    <row r="559" spans="19:104" x14ac:dyDescent="0.35">
      <c r="S559" s="217"/>
      <c r="U559" s="251"/>
      <c r="V559" s="251"/>
      <c r="W559" s="323"/>
      <c r="X559" s="323"/>
      <c r="Y559" s="323"/>
      <c r="Z559" s="323"/>
      <c r="AA559" s="323"/>
      <c r="AB559" s="323"/>
      <c r="AC559" s="323"/>
      <c r="AD559" s="323"/>
      <c r="AE559" s="323"/>
      <c r="AF559" s="323"/>
      <c r="AG559" s="323"/>
      <c r="AH559" s="323"/>
      <c r="AI559" s="323"/>
      <c r="AJ559" s="323"/>
      <c r="AK559" s="323"/>
      <c r="AL559" s="323"/>
      <c r="AM559" s="323"/>
      <c r="AN559" s="323"/>
      <c r="AO559" s="323"/>
      <c r="AP559" s="323"/>
      <c r="AQ559" s="323"/>
      <c r="AR559" s="323"/>
      <c r="AS559" s="323"/>
      <c r="AT559" s="323"/>
      <c r="AU559" s="323"/>
      <c r="AV559" s="323"/>
      <c r="AW559" s="323"/>
      <c r="AX559" s="323"/>
      <c r="AY559" s="323"/>
      <c r="AZ559" s="323"/>
      <c r="BA559" s="323"/>
      <c r="BB559" s="323"/>
      <c r="BC559" s="323"/>
      <c r="BD559" s="323"/>
      <c r="BE559" s="323"/>
      <c r="BF559" s="323"/>
      <c r="BG559" s="323"/>
      <c r="BH559" s="323"/>
      <c r="BI559" s="323"/>
      <c r="BJ559" s="323"/>
      <c r="BK559" s="323"/>
      <c r="BL559" s="323"/>
      <c r="BM559" s="323"/>
      <c r="BN559" s="323"/>
      <c r="BO559" s="323"/>
      <c r="BP559" s="323"/>
      <c r="BQ559" s="323"/>
      <c r="BR559" s="323"/>
      <c r="BS559" s="323"/>
      <c r="BT559" s="323"/>
      <c r="BU559" s="323"/>
      <c r="BV559" s="323"/>
      <c r="BW559" s="323"/>
      <c r="BX559" s="323"/>
      <c r="BY559" s="323"/>
      <c r="BZ559" s="323"/>
      <c r="CA559" s="323"/>
      <c r="CB559" s="323"/>
      <c r="CC559" s="323"/>
      <c r="CD559" s="323"/>
      <c r="CE559" s="323"/>
      <c r="CF559" s="323"/>
      <c r="CG559" s="323"/>
      <c r="CH559" s="323"/>
      <c r="CI559" s="323"/>
      <c r="CJ559" s="323"/>
      <c r="CK559" s="323"/>
      <c r="CL559" s="323"/>
      <c r="CM559" s="323"/>
      <c r="CN559" s="323"/>
      <c r="CO559" s="323"/>
      <c r="CP559" s="323"/>
      <c r="CQ559" s="323"/>
      <c r="CR559" s="323"/>
      <c r="CS559" s="323"/>
      <c r="CT559" s="323"/>
      <c r="CU559" s="323"/>
      <c r="CV559" s="323"/>
      <c r="CW559" s="323"/>
      <c r="CX559" s="323"/>
      <c r="CY559" s="323"/>
      <c r="CZ559" s="323"/>
    </row>
    <row r="560" spans="19:104" x14ac:dyDescent="0.35">
      <c r="S560" s="217"/>
      <c r="U560" s="251"/>
      <c r="V560" s="251"/>
      <c r="W560" s="323"/>
      <c r="X560" s="323"/>
      <c r="Y560" s="323"/>
      <c r="Z560" s="323"/>
      <c r="AA560" s="323"/>
      <c r="AB560" s="323"/>
      <c r="AC560" s="323"/>
      <c r="AD560" s="323"/>
      <c r="AE560" s="323"/>
      <c r="AF560" s="323"/>
      <c r="AG560" s="323"/>
      <c r="AH560" s="323"/>
      <c r="AI560" s="323"/>
      <c r="AJ560" s="323"/>
      <c r="AK560" s="323"/>
      <c r="AL560" s="323"/>
      <c r="AM560" s="323"/>
      <c r="AN560" s="323"/>
      <c r="AO560" s="323"/>
      <c r="AP560" s="323"/>
      <c r="AQ560" s="323"/>
      <c r="AR560" s="323"/>
      <c r="AS560" s="323"/>
      <c r="AT560" s="323"/>
      <c r="AU560" s="323"/>
      <c r="AV560" s="323"/>
      <c r="AW560" s="323"/>
      <c r="AX560" s="323"/>
      <c r="AY560" s="323"/>
      <c r="AZ560" s="323"/>
      <c r="BA560" s="323"/>
      <c r="BB560" s="323"/>
      <c r="BC560" s="323"/>
      <c r="BD560" s="323"/>
      <c r="BE560" s="323"/>
      <c r="BF560" s="323"/>
      <c r="BG560" s="323"/>
      <c r="BH560" s="323"/>
      <c r="BI560" s="323"/>
      <c r="BJ560" s="323"/>
      <c r="BK560" s="323"/>
      <c r="BL560" s="323"/>
      <c r="BM560" s="323"/>
      <c r="BN560" s="323"/>
      <c r="BO560" s="323"/>
      <c r="BP560" s="323"/>
      <c r="BQ560" s="323"/>
      <c r="BR560" s="323"/>
      <c r="BS560" s="323"/>
      <c r="BT560" s="323"/>
      <c r="BU560" s="323"/>
      <c r="BV560" s="323"/>
      <c r="BW560" s="323"/>
      <c r="BX560" s="323"/>
      <c r="BY560" s="323"/>
      <c r="BZ560" s="323"/>
      <c r="CA560" s="323"/>
      <c r="CB560" s="323"/>
      <c r="CC560" s="323"/>
      <c r="CD560" s="323"/>
      <c r="CE560" s="323"/>
      <c r="CF560" s="323"/>
      <c r="CG560" s="323"/>
      <c r="CH560" s="323"/>
      <c r="CI560" s="323"/>
      <c r="CJ560" s="323"/>
      <c r="CK560" s="323"/>
      <c r="CL560" s="323"/>
      <c r="CM560" s="323"/>
      <c r="CN560" s="323"/>
      <c r="CO560" s="323"/>
      <c r="CP560" s="323"/>
      <c r="CQ560" s="323"/>
      <c r="CR560" s="323"/>
      <c r="CS560" s="323"/>
      <c r="CT560" s="323"/>
      <c r="CU560" s="323"/>
      <c r="CV560" s="323"/>
      <c r="CW560" s="323"/>
      <c r="CX560" s="323"/>
      <c r="CY560" s="323"/>
      <c r="CZ560" s="323"/>
    </row>
    <row r="561" spans="19:104" x14ac:dyDescent="0.35">
      <c r="S561" s="217"/>
      <c r="U561" s="251"/>
      <c r="V561" s="251"/>
      <c r="W561" s="323"/>
      <c r="X561" s="323"/>
      <c r="Y561" s="323"/>
      <c r="Z561" s="323"/>
      <c r="AA561" s="323"/>
      <c r="AB561" s="323"/>
      <c r="AC561" s="323"/>
      <c r="AD561" s="323"/>
      <c r="AE561" s="323"/>
      <c r="AF561" s="323"/>
      <c r="AG561" s="323"/>
      <c r="AH561" s="323"/>
      <c r="AI561" s="323"/>
      <c r="AJ561" s="323"/>
      <c r="AK561" s="323"/>
      <c r="AL561" s="323"/>
      <c r="AM561" s="323"/>
      <c r="AN561" s="323"/>
      <c r="AO561" s="323"/>
      <c r="AP561" s="323"/>
      <c r="AQ561" s="323"/>
      <c r="AR561" s="323"/>
      <c r="AS561" s="323"/>
      <c r="AT561" s="323"/>
      <c r="AU561" s="323"/>
      <c r="AV561" s="323"/>
      <c r="AW561" s="323"/>
      <c r="AX561" s="323"/>
      <c r="AY561" s="323"/>
      <c r="AZ561" s="323"/>
      <c r="BA561" s="323"/>
      <c r="BB561" s="323"/>
      <c r="BC561" s="323"/>
      <c r="BD561" s="323"/>
      <c r="BE561" s="323"/>
      <c r="BF561" s="323"/>
      <c r="BG561" s="323"/>
      <c r="BH561" s="323"/>
      <c r="BI561" s="323"/>
      <c r="BJ561" s="323"/>
      <c r="BK561" s="323"/>
      <c r="BL561" s="323"/>
      <c r="BM561" s="323"/>
      <c r="BN561" s="323"/>
      <c r="BO561" s="323"/>
      <c r="BP561" s="323"/>
      <c r="BQ561" s="323"/>
      <c r="BR561" s="323"/>
      <c r="BS561" s="323"/>
      <c r="BT561" s="323"/>
      <c r="BU561" s="323"/>
      <c r="BV561" s="323"/>
      <c r="BW561" s="323"/>
      <c r="BX561" s="323"/>
      <c r="BY561" s="323"/>
      <c r="BZ561" s="323"/>
      <c r="CA561" s="323"/>
      <c r="CB561" s="323"/>
      <c r="CC561" s="323"/>
      <c r="CD561" s="323"/>
      <c r="CE561" s="323"/>
      <c r="CF561" s="323"/>
      <c r="CG561" s="323"/>
      <c r="CH561" s="323"/>
      <c r="CI561" s="323"/>
      <c r="CJ561" s="323"/>
      <c r="CK561" s="323"/>
      <c r="CL561" s="323"/>
      <c r="CM561" s="323"/>
      <c r="CN561" s="323"/>
      <c r="CO561" s="323"/>
      <c r="CP561" s="323"/>
      <c r="CQ561" s="323"/>
      <c r="CR561" s="323"/>
      <c r="CS561" s="323"/>
      <c r="CT561" s="323"/>
      <c r="CU561" s="323"/>
      <c r="CV561" s="323"/>
      <c r="CW561" s="323"/>
      <c r="CX561" s="323"/>
      <c r="CY561" s="323"/>
      <c r="CZ561" s="323"/>
    </row>
    <row r="562" spans="19:104" x14ac:dyDescent="0.35">
      <c r="S562" s="217"/>
      <c r="U562" s="251"/>
      <c r="V562" s="251"/>
      <c r="W562" s="323"/>
      <c r="X562" s="323"/>
      <c r="Y562" s="323"/>
      <c r="Z562" s="323"/>
      <c r="AA562" s="323"/>
      <c r="AB562" s="323"/>
      <c r="AC562" s="323"/>
      <c r="AD562" s="323"/>
      <c r="AE562" s="323"/>
      <c r="AF562" s="323"/>
      <c r="AG562" s="323"/>
      <c r="AH562" s="323"/>
      <c r="AI562" s="323"/>
      <c r="AJ562" s="323"/>
      <c r="AK562" s="323"/>
      <c r="AL562" s="323"/>
      <c r="AM562" s="323"/>
      <c r="AN562" s="323"/>
      <c r="AO562" s="323"/>
      <c r="AP562" s="323"/>
      <c r="AQ562" s="323"/>
      <c r="AR562" s="323"/>
      <c r="AS562" s="323"/>
      <c r="AT562" s="323"/>
      <c r="AU562" s="323"/>
      <c r="AV562" s="323"/>
      <c r="AW562" s="323"/>
      <c r="AX562" s="323"/>
      <c r="AY562" s="323"/>
      <c r="AZ562" s="323"/>
      <c r="BA562" s="323"/>
      <c r="BB562" s="323"/>
      <c r="BC562" s="323"/>
      <c r="BD562" s="323"/>
      <c r="BE562" s="323"/>
      <c r="BF562" s="323"/>
      <c r="BG562" s="323"/>
      <c r="BH562" s="323"/>
      <c r="BI562" s="323"/>
      <c r="BJ562" s="323"/>
      <c r="BK562" s="323"/>
      <c r="BL562" s="323"/>
      <c r="BM562" s="323"/>
      <c r="BN562" s="323"/>
      <c r="BO562" s="323"/>
      <c r="BP562" s="323"/>
      <c r="BQ562" s="323"/>
      <c r="BR562" s="323"/>
      <c r="BS562" s="323"/>
      <c r="BT562" s="323"/>
      <c r="BU562" s="323"/>
      <c r="BV562" s="323"/>
      <c r="BW562" s="323"/>
      <c r="BX562" s="323"/>
      <c r="BY562" s="323"/>
      <c r="BZ562" s="323"/>
      <c r="CA562" s="323"/>
      <c r="CB562" s="323"/>
      <c r="CC562" s="323"/>
      <c r="CD562" s="323"/>
      <c r="CE562" s="323"/>
      <c r="CF562" s="323"/>
      <c r="CG562" s="323"/>
      <c r="CH562" s="323"/>
      <c r="CI562" s="323"/>
      <c r="CJ562" s="323"/>
      <c r="CK562" s="323"/>
      <c r="CL562" s="323"/>
      <c r="CM562" s="323"/>
      <c r="CN562" s="323"/>
      <c r="CO562" s="323"/>
      <c r="CP562" s="323"/>
      <c r="CQ562" s="323"/>
      <c r="CR562" s="323"/>
      <c r="CS562" s="323"/>
      <c r="CT562" s="323"/>
      <c r="CU562" s="323"/>
      <c r="CV562" s="323"/>
      <c r="CW562" s="323"/>
      <c r="CX562" s="323"/>
      <c r="CY562" s="323"/>
      <c r="CZ562" s="323"/>
    </row>
    <row r="563" spans="19:104" x14ac:dyDescent="0.35">
      <c r="S563" s="217"/>
      <c r="U563" s="251"/>
      <c r="V563" s="251"/>
      <c r="W563" s="323"/>
      <c r="X563" s="323"/>
      <c r="Y563" s="323"/>
      <c r="Z563" s="323"/>
      <c r="AA563" s="323"/>
      <c r="AB563" s="323"/>
      <c r="AC563" s="323"/>
      <c r="AD563" s="323"/>
      <c r="AE563" s="323"/>
      <c r="AF563" s="323"/>
      <c r="AG563" s="323"/>
      <c r="AH563" s="323"/>
      <c r="AI563" s="323"/>
      <c r="AJ563" s="323"/>
      <c r="AK563" s="323"/>
      <c r="AL563" s="323"/>
      <c r="AM563" s="323"/>
      <c r="AN563" s="323"/>
      <c r="AO563" s="323"/>
      <c r="AP563" s="323"/>
      <c r="AQ563" s="323"/>
      <c r="AR563" s="323"/>
      <c r="AS563" s="323"/>
      <c r="AT563" s="323"/>
      <c r="AU563" s="323"/>
      <c r="AV563" s="323"/>
      <c r="AW563" s="323"/>
      <c r="AX563" s="323"/>
      <c r="AY563" s="323"/>
      <c r="AZ563" s="323"/>
      <c r="BA563" s="323"/>
      <c r="BB563" s="323"/>
      <c r="BC563" s="323"/>
      <c r="BD563" s="323"/>
      <c r="BE563" s="323"/>
      <c r="BF563" s="323"/>
      <c r="BG563" s="323"/>
      <c r="BH563" s="323"/>
      <c r="BI563" s="323"/>
      <c r="BJ563" s="323"/>
      <c r="BK563" s="323"/>
      <c r="BL563" s="323"/>
      <c r="BM563" s="323"/>
      <c r="BN563" s="323"/>
      <c r="BO563" s="323"/>
      <c r="BP563" s="323"/>
      <c r="BQ563" s="323"/>
      <c r="BR563" s="323"/>
      <c r="BS563" s="323"/>
      <c r="BT563" s="323"/>
      <c r="BU563" s="323"/>
      <c r="BV563" s="323"/>
      <c r="BW563" s="323"/>
      <c r="BX563" s="323"/>
      <c r="BY563" s="323"/>
      <c r="BZ563" s="323"/>
      <c r="CA563" s="323"/>
      <c r="CB563" s="323"/>
      <c r="CC563" s="323"/>
      <c r="CD563" s="323"/>
      <c r="CE563" s="323"/>
      <c r="CF563" s="323"/>
      <c r="CG563" s="323"/>
      <c r="CH563" s="323"/>
      <c r="CI563" s="323"/>
      <c r="CJ563" s="323"/>
      <c r="CK563" s="323"/>
      <c r="CL563" s="323"/>
      <c r="CM563" s="323"/>
      <c r="CN563" s="323"/>
      <c r="CO563" s="323"/>
      <c r="CP563" s="323"/>
      <c r="CQ563" s="323"/>
      <c r="CR563" s="323"/>
      <c r="CS563" s="323"/>
      <c r="CT563" s="323"/>
      <c r="CU563" s="323"/>
      <c r="CV563" s="323"/>
      <c r="CW563" s="323"/>
      <c r="CX563" s="323"/>
      <c r="CY563" s="323"/>
      <c r="CZ563" s="323"/>
    </row>
    <row r="564" spans="19:104" x14ac:dyDescent="0.35">
      <c r="S564" s="217"/>
      <c r="U564" s="251"/>
      <c r="V564" s="251"/>
      <c r="W564" s="323"/>
      <c r="X564" s="323"/>
      <c r="Y564" s="323"/>
      <c r="Z564" s="323"/>
      <c r="AA564" s="323"/>
      <c r="AB564" s="323"/>
      <c r="AC564" s="323"/>
      <c r="AD564" s="323"/>
      <c r="AE564" s="323"/>
      <c r="AF564" s="323"/>
      <c r="AG564" s="323"/>
      <c r="AH564" s="323"/>
      <c r="AI564" s="323"/>
      <c r="AJ564" s="323"/>
      <c r="AK564" s="323"/>
      <c r="AL564" s="323"/>
      <c r="AM564" s="323"/>
      <c r="AN564" s="323"/>
      <c r="AO564" s="323"/>
      <c r="AP564" s="323"/>
      <c r="AQ564" s="323"/>
      <c r="AR564" s="323"/>
      <c r="AS564" s="323"/>
      <c r="AT564" s="323"/>
      <c r="AU564" s="323"/>
      <c r="AV564" s="323"/>
      <c r="AW564" s="323"/>
      <c r="AX564" s="323"/>
      <c r="AY564" s="323"/>
      <c r="AZ564" s="323"/>
      <c r="BA564" s="323"/>
      <c r="BB564" s="323"/>
      <c r="BC564" s="323"/>
      <c r="BD564" s="323"/>
      <c r="BE564" s="323"/>
      <c r="BF564" s="323"/>
      <c r="BG564" s="323"/>
      <c r="BH564" s="323"/>
      <c r="BI564" s="323"/>
      <c r="BJ564" s="323"/>
      <c r="BK564" s="323"/>
      <c r="BL564" s="323"/>
      <c r="BM564" s="323"/>
      <c r="BN564" s="323"/>
      <c r="BO564" s="323"/>
      <c r="BP564" s="323"/>
      <c r="BQ564" s="323"/>
      <c r="BR564" s="323"/>
      <c r="BS564" s="323"/>
      <c r="BT564" s="323"/>
      <c r="BU564" s="323"/>
      <c r="BV564" s="323"/>
      <c r="BW564" s="323"/>
      <c r="BX564" s="323"/>
      <c r="BY564" s="323"/>
      <c r="BZ564" s="323"/>
      <c r="CA564" s="323"/>
      <c r="CB564" s="323"/>
      <c r="CC564" s="323"/>
      <c r="CD564" s="323"/>
      <c r="CE564" s="323"/>
      <c r="CF564" s="323"/>
      <c r="CG564" s="323"/>
      <c r="CH564" s="323"/>
      <c r="CI564" s="323"/>
      <c r="CJ564" s="323"/>
      <c r="CK564" s="323"/>
      <c r="CL564" s="323"/>
      <c r="CM564" s="323"/>
      <c r="CN564" s="323"/>
      <c r="CO564" s="323"/>
      <c r="CP564" s="323"/>
      <c r="CQ564" s="323"/>
      <c r="CR564" s="323"/>
      <c r="CS564" s="323"/>
      <c r="CT564" s="323"/>
      <c r="CU564" s="323"/>
      <c r="CV564" s="323"/>
      <c r="CW564" s="323"/>
      <c r="CX564" s="323"/>
      <c r="CY564" s="323"/>
      <c r="CZ564" s="323"/>
    </row>
    <row r="565" spans="19:104" x14ac:dyDescent="0.35">
      <c r="S565" s="217"/>
      <c r="U565" s="251"/>
      <c r="V565" s="251"/>
      <c r="W565" s="323"/>
      <c r="X565" s="323"/>
      <c r="Y565" s="323"/>
      <c r="Z565" s="323"/>
      <c r="AA565" s="323"/>
      <c r="AB565" s="323"/>
      <c r="AC565" s="323"/>
      <c r="AD565" s="323"/>
      <c r="AE565" s="323"/>
      <c r="AF565" s="323"/>
      <c r="AG565" s="323"/>
      <c r="AH565" s="323"/>
      <c r="AI565" s="323"/>
      <c r="AJ565" s="323"/>
      <c r="AK565" s="323"/>
      <c r="AL565" s="323"/>
      <c r="AM565" s="323"/>
      <c r="AN565" s="323"/>
      <c r="AO565" s="323"/>
      <c r="AP565" s="323"/>
      <c r="AQ565" s="323"/>
      <c r="AR565" s="323"/>
      <c r="AS565" s="323"/>
      <c r="AT565" s="323"/>
      <c r="AU565" s="323"/>
      <c r="AV565" s="323"/>
      <c r="AW565" s="323"/>
      <c r="AX565" s="323"/>
      <c r="AY565" s="323"/>
      <c r="AZ565" s="323"/>
      <c r="BA565" s="323"/>
      <c r="BB565" s="323"/>
      <c r="BC565" s="323"/>
      <c r="BD565" s="323"/>
      <c r="BE565" s="323"/>
      <c r="BF565" s="323"/>
      <c r="BG565" s="323"/>
      <c r="BH565" s="323"/>
      <c r="BI565" s="323"/>
      <c r="BJ565" s="323"/>
      <c r="BK565" s="323"/>
      <c r="BL565" s="323"/>
      <c r="BM565" s="323"/>
      <c r="BN565" s="323"/>
      <c r="BO565" s="323"/>
      <c r="BP565" s="323"/>
      <c r="BQ565" s="323"/>
      <c r="BR565" s="323"/>
      <c r="BS565" s="323"/>
      <c r="BT565" s="323"/>
      <c r="BU565" s="323"/>
      <c r="BV565" s="323"/>
      <c r="BW565" s="323"/>
      <c r="BX565" s="323"/>
      <c r="BY565" s="323"/>
      <c r="BZ565" s="323"/>
      <c r="CA565" s="323"/>
      <c r="CB565" s="323"/>
      <c r="CC565" s="323"/>
      <c r="CD565" s="323"/>
      <c r="CE565" s="323"/>
      <c r="CF565" s="323"/>
      <c r="CG565" s="323"/>
      <c r="CH565" s="323"/>
      <c r="CI565" s="323"/>
      <c r="CJ565" s="323"/>
      <c r="CK565" s="323"/>
      <c r="CL565" s="323"/>
      <c r="CM565" s="323"/>
      <c r="CN565" s="323"/>
      <c r="CO565" s="323"/>
      <c r="CP565" s="323"/>
      <c r="CQ565" s="323"/>
      <c r="CR565" s="323"/>
      <c r="CS565" s="323"/>
      <c r="CT565" s="323"/>
      <c r="CU565" s="323"/>
      <c r="CV565" s="323"/>
      <c r="CW565" s="323"/>
      <c r="CX565" s="323"/>
      <c r="CY565" s="323"/>
      <c r="CZ565" s="323"/>
    </row>
    <row r="566" spans="19:104" x14ac:dyDescent="0.35">
      <c r="S566" s="174"/>
      <c r="U566" s="251"/>
      <c r="V566" s="251"/>
      <c r="W566" s="323"/>
      <c r="X566" s="323"/>
      <c r="Y566" s="323"/>
      <c r="Z566" s="323"/>
      <c r="AA566" s="323"/>
      <c r="AB566" s="323"/>
      <c r="AC566" s="323"/>
      <c r="AD566" s="323"/>
      <c r="AE566" s="323"/>
      <c r="AF566" s="323"/>
      <c r="AG566" s="323"/>
      <c r="AH566" s="323"/>
      <c r="AI566" s="323"/>
      <c r="AJ566" s="323"/>
      <c r="AK566" s="323"/>
      <c r="AL566" s="323"/>
      <c r="AM566" s="323"/>
      <c r="AN566" s="323"/>
      <c r="AO566" s="323"/>
      <c r="AP566" s="323"/>
      <c r="AQ566" s="323"/>
      <c r="AR566" s="323"/>
      <c r="AS566" s="323"/>
      <c r="AT566" s="323"/>
      <c r="AU566" s="323"/>
      <c r="AV566" s="323"/>
      <c r="AW566" s="323"/>
      <c r="AX566" s="323"/>
      <c r="AY566" s="323"/>
      <c r="AZ566" s="323"/>
      <c r="BA566" s="323"/>
      <c r="BB566" s="323"/>
      <c r="BC566" s="323"/>
      <c r="BD566" s="323"/>
      <c r="BE566" s="323"/>
      <c r="BF566" s="323"/>
      <c r="BG566" s="323"/>
      <c r="BH566" s="323"/>
      <c r="BI566" s="323"/>
      <c r="BJ566" s="323"/>
      <c r="BK566" s="323"/>
      <c r="BL566" s="323"/>
      <c r="BM566" s="323"/>
      <c r="BN566" s="323"/>
      <c r="BO566" s="323"/>
      <c r="BP566" s="323"/>
      <c r="BQ566" s="323"/>
      <c r="BR566" s="323"/>
      <c r="BS566" s="323"/>
      <c r="BT566" s="323"/>
      <c r="BU566" s="323"/>
      <c r="BV566" s="323"/>
      <c r="BW566" s="323"/>
      <c r="BX566" s="323"/>
      <c r="BY566" s="323"/>
      <c r="BZ566" s="323"/>
      <c r="CA566" s="323"/>
      <c r="CB566" s="323"/>
      <c r="CC566" s="323"/>
      <c r="CD566" s="323"/>
      <c r="CE566" s="323"/>
      <c r="CF566" s="323"/>
      <c r="CG566" s="323"/>
      <c r="CH566" s="323"/>
      <c r="CI566" s="323"/>
      <c r="CJ566" s="323"/>
      <c r="CK566" s="323"/>
      <c r="CL566" s="323"/>
      <c r="CM566" s="323"/>
      <c r="CN566" s="323"/>
      <c r="CO566" s="323"/>
      <c r="CP566" s="323"/>
      <c r="CQ566" s="323"/>
      <c r="CR566" s="323"/>
      <c r="CS566" s="323"/>
      <c r="CT566" s="323"/>
      <c r="CU566" s="323"/>
      <c r="CV566" s="323"/>
      <c r="CW566" s="323"/>
      <c r="CX566" s="323"/>
      <c r="CY566" s="323"/>
      <c r="CZ566" s="323"/>
    </row>
    <row r="567" spans="19:104" x14ac:dyDescent="0.35">
      <c r="S567" s="174"/>
      <c r="U567" s="251"/>
      <c r="V567" s="251"/>
      <c r="W567" s="323"/>
      <c r="X567" s="323"/>
      <c r="Y567" s="323"/>
      <c r="Z567" s="323"/>
      <c r="AA567" s="323"/>
      <c r="AB567" s="323"/>
      <c r="AC567" s="323"/>
      <c r="AD567" s="323"/>
      <c r="AE567" s="323"/>
      <c r="AF567" s="323"/>
      <c r="AG567" s="323"/>
      <c r="AH567" s="323"/>
      <c r="AI567" s="323"/>
      <c r="AJ567" s="323"/>
      <c r="AK567" s="323"/>
      <c r="AL567" s="323"/>
      <c r="AM567" s="323"/>
      <c r="AN567" s="323"/>
      <c r="AO567" s="323"/>
      <c r="AP567" s="323"/>
      <c r="AQ567" s="323"/>
      <c r="AR567" s="323"/>
      <c r="AS567" s="323"/>
      <c r="AT567" s="323"/>
      <c r="AU567" s="323"/>
      <c r="AV567" s="323"/>
      <c r="AW567" s="323"/>
      <c r="AX567" s="323"/>
      <c r="AY567" s="323"/>
      <c r="AZ567" s="323"/>
      <c r="BA567" s="323"/>
      <c r="BB567" s="323"/>
      <c r="BC567" s="323"/>
      <c r="BD567" s="323"/>
      <c r="BE567" s="323"/>
      <c r="BF567" s="323"/>
      <c r="BG567" s="323"/>
      <c r="BH567" s="323"/>
      <c r="BI567" s="323"/>
      <c r="BJ567" s="323"/>
      <c r="BK567" s="323"/>
      <c r="BL567" s="323"/>
      <c r="BM567" s="323"/>
      <c r="BN567" s="323"/>
      <c r="BO567" s="323"/>
      <c r="BP567" s="323"/>
      <c r="BQ567" s="323"/>
      <c r="BR567" s="323"/>
      <c r="BS567" s="323"/>
      <c r="BT567" s="323"/>
      <c r="BU567" s="323"/>
      <c r="BV567" s="323"/>
      <c r="BW567" s="323"/>
      <c r="BX567" s="323"/>
      <c r="BY567" s="323"/>
      <c r="BZ567" s="323"/>
      <c r="CA567" s="323"/>
      <c r="CB567" s="323"/>
      <c r="CC567" s="323"/>
      <c r="CD567" s="323"/>
      <c r="CE567" s="323"/>
      <c r="CF567" s="323"/>
      <c r="CG567" s="323"/>
      <c r="CH567" s="323"/>
      <c r="CI567" s="323"/>
      <c r="CJ567" s="323"/>
      <c r="CK567" s="323"/>
      <c r="CL567" s="323"/>
      <c r="CM567" s="323"/>
      <c r="CN567" s="323"/>
      <c r="CO567" s="323"/>
      <c r="CP567" s="323"/>
      <c r="CQ567" s="323"/>
      <c r="CR567" s="323"/>
      <c r="CS567" s="323"/>
      <c r="CT567" s="323"/>
      <c r="CU567" s="323"/>
      <c r="CV567" s="323"/>
      <c r="CW567" s="323"/>
      <c r="CX567" s="323"/>
      <c r="CY567" s="323"/>
      <c r="CZ567" s="323"/>
    </row>
    <row r="568" spans="19:104" x14ac:dyDescent="0.35">
      <c r="S568" s="174"/>
      <c r="U568" s="251"/>
      <c r="V568" s="251"/>
      <c r="W568" s="323"/>
      <c r="X568" s="323"/>
      <c r="Y568" s="323"/>
      <c r="Z568" s="323"/>
      <c r="AA568" s="323"/>
      <c r="AB568" s="323"/>
      <c r="AC568" s="323"/>
      <c r="AD568" s="323"/>
      <c r="AE568" s="323"/>
      <c r="AF568" s="323"/>
      <c r="AG568" s="323"/>
      <c r="AH568" s="323"/>
      <c r="AI568" s="323"/>
      <c r="AJ568" s="323"/>
      <c r="AK568" s="323"/>
      <c r="AL568" s="323"/>
      <c r="AM568" s="323"/>
      <c r="AN568" s="323"/>
      <c r="AO568" s="323"/>
      <c r="AP568" s="323"/>
      <c r="AQ568" s="323"/>
      <c r="AR568" s="323"/>
      <c r="AS568" s="323"/>
      <c r="AT568" s="323"/>
      <c r="AU568" s="323"/>
      <c r="AV568" s="323"/>
      <c r="AW568" s="323"/>
      <c r="AX568" s="323"/>
      <c r="AY568" s="323"/>
      <c r="AZ568" s="323"/>
      <c r="BA568" s="323"/>
      <c r="BB568" s="323"/>
      <c r="BC568" s="323"/>
      <c r="BD568" s="323"/>
      <c r="BE568" s="323"/>
      <c r="BF568" s="323"/>
      <c r="BG568" s="323"/>
      <c r="BH568" s="323"/>
      <c r="BI568" s="323"/>
      <c r="BJ568" s="323"/>
      <c r="BK568" s="323"/>
      <c r="BL568" s="323"/>
      <c r="BM568" s="323"/>
      <c r="BN568" s="323"/>
      <c r="BO568" s="323"/>
      <c r="BP568" s="323"/>
      <c r="BQ568" s="323"/>
      <c r="BR568" s="323"/>
      <c r="BS568" s="323"/>
      <c r="BT568" s="323"/>
      <c r="BU568" s="323"/>
      <c r="BV568" s="323"/>
      <c r="BW568" s="323"/>
      <c r="BX568" s="323"/>
      <c r="BY568" s="323"/>
      <c r="BZ568" s="323"/>
      <c r="CA568" s="323"/>
      <c r="CB568" s="323"/>
      <c r="CC568" s="323"/>
      <c r="CD568" s="323"/>
      <c r="CE568" s="323"/>
      <c r="CF568" s="323"/>
      <c r="CG568" s="323"/>
      <c r="CH568" s="323"/>
      <c r="CI568" s="323"/>
      <c r="CJ568" s="323"/>
      <c r="CK568" s="323"/>
      <c r="CL568" s="323"/>
      <c r="CM568" s="323"/>
      <c r="CN568" s="323"/>
      <c r="CO568" s="323"/>
      <c r="CP568" s="323"/>
      <c r="CQ568" s="323"/>
      <c r="CR568" s="323"/>
      <c r="CS568" s="323"/>
      <c r="CT568" s="323"/>
      <c r="CU568" s="323"/>
      <c r="CV568" s="323"/>
      <c r="CW568" s="323"/>
      <c r="CX568" s="323"/>
      <c r="CY568" s="323"/>
      <c r="CZ568" s="323"/>
    </row>
    <row r="569" spans="19:104" x14ac:dyDescent="0.35">
      <c r="S569" s="174"/>
      <c r="U569" s="251"/>
      <c r="V569" s="251"/>
      <c r="W569" s="323"/>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c r="AS569" s="323"/>
      <c r="AT569" s="323"/>
      <c r="AU569" s="323"/>
      <c r="AV569" s="323"/>
      <c r="AW569" s="323"/>
      <c r="AX569" s="323"/>
      <c r="AY569" s="323"/>
      <c r="AZ569" s="323"/>
      <c r="BA569" s="323"/>
      <c r="BB569" s="323"/>
      <c r="BC569" s="323"/>
      <c r="BD569" s="323"/>
      <c r="BE569" s="323"/>
      <c r="BF569" s="323"/>
      <c r="BG569" s="323"/>
      <c r="BH569" s="323"/>
      <c r="BI569" s="323"/>
      <c r="BJ569" s="323"/>
      <c r="BK569" s="323"/>
      <c r="BL569" s="323"/>
      <c r="BM569" s="323"/>
      <c r="BN569" s="323"/>
      <c r="BO569" s="323"/>
      <c r="BP569" s="323"/>
      <c r="BQ569" s="323"/>
      <c r="BR569" s="323"/>
      <c r="BS569" s="323"/>
      <c r="BT569" s="323"/>
      <c r="BU569" s="323"/>
      <c r="BV569" s="323"/>
      <c r="BW569" s="323"/>
      <c r="BX569" s="323"/>
      <c r="BY569" s="323"/>
      <c r="BZ569" s="323"/>
      <c r="CA569" s="323"/>
      <c r="CB569" s="323"/>
      <c r="CC569" s="323"/>
      <c r="CD569" s="323"/>
      <c r="CE569" s="323"/>
      <c r="CF569" s="323"/>
      <c r="CG569" s="323"/>
      <c r="CH569" s="323"/>
      <c r="CI569" s="323"/>
      <c r="CJ569" s="323"/>
      <c r="CK569" s="323"/>
      <c r="CL569" s="323"/>
      <c r="CM569" s="323"/>
      <c r="CN569" s="323"/>
      <c r="CO569" s="323"/>
      <c r="CP569" s="323"/>
      <c r="CQ569" s="323"/>
      <c r="CR569" s="323"/>
      <c r="CS569" s="323"/>
      <c r="CT569" s="323"/>
      <c r="CU569" s="323"/>
      <c r="CV569" s="323"/>
      <c r="CW569" s="323"/>
      <c r="CX569" s="323"/>
      <c r="CY569" s="323"/>
      <c r="CZ569" s="323"/>
    </row>
    <row r="570" spans="19:104" x14ac:dyDescent="0.35">
      <c r="S570" s="174"/>
      <c r="U570" s="251"/>
      <c r="V570" s="251"/>
      <c r="W570" s="323"/>
      <c r="X570" s="323"/>
      <c r="Y570" s="323"/>
      <c r="Z570" s="323"/>
      <c r="AA570" s="323"/>
      <c r="AB570" s="323"/>
      <c r="AC570" s="323"/>
      <c r="AD570" s="323"/>
      <c r="AE570" s="323"/>
      <c r="AF570" s="323"/>
      <c r="AG570" s="323"/>
      <c r="AH570" s="323"/>
      <c r="AI570" s="323"/>
      <c r="AJ570" s="323"/>
      <c r="AK570" s="323"/>
      <c r="AL570" s="323"/>
      <c r="AM570" s="323"/>
      <c r="AN570" s="323"/>
      <c r="AO570" s="323"/>
      <c r="AP570" s="323"/>
      <c r="AQ570" s="323"/>
      <c r="AR570" s="323"/>
      <c r="AS570" s="323"/>
      <c r="AT570" s="323"/>
      <c r="AU570" s="323"/>
      <c r="AV570" s="323"/>
      <c r="AW570" s="323"/>
      <c r="AX570" s="323"/>
      <c r="AY570" s="323"/>
      <c r="AZ570" s="323"/>
      <c r="BA570" s="323"/>
      <c r="BB570" s="323"/>
      <c r="BC570" s="323"/>
      <c r="BD570" s="323"/>
      <c r="BE570" s="323"/>
      <c r="BF570" s="323"/>
      <c r="BG570" s="323"/>
      <c r="BH570" s="323"/>
      <c r="BI570" s="323"/>
      <c r="BJ570" s="323"/>
      <c r="BK570" s="323"/>
      <c r="BL570" s="323"/>
      <c r="BM570" s="323"/>
      <c r="BN570" s="323"/>
      <c r="BO570" s="323"/>
      <c r="BP570" s="323"/>
      <c r="BQ570" s="323"/>
      <c r="BR570" s="323"/>
      <c r="BS570" s="323"/>
      <c r="BT570" s="323"/>
      <c r="BU570" s="323"/>
      <c r="BV570" s="323"/>
      <c r="BW570" s="323"/>
      <c r="BX570" s="323"/>
      <c r="BY570" s="323"/>
      <c r="BZ570" s="323"/>
      <c r="CA570" s="323"/>
      <c r="CB570" s="323"/>
      <c r="CC570" s="323"/>
      <c r="CD570" s="323"/>
      <c r="CE570" s="323"/>
      <c r="CF570" s="323"/>
      <c r="CG570" s="323"/>
      <c r="CH570" s="323"/>
      <c r="CI570" s="323"/>
      <c r="CJ570" s="323"/>
      <c r="CK570" s="323"/>
      <c r="CL570" s="323"/>
      <c r="CM570" s="323"/>
      <c r="CN570" s="323"/>
      <c r="CO570" s="323"/>
      <c r="CP570" s="323"/>
      <c r="CQ570" s="323"/>
      <c r="CR570" s="323"/>
      <c r="CS570" s="323"/>
      <c r="CT570" s="323"/>
      <c r="CU570" s="323"/>
      <c r="CV570" s="323"/>
      <c r="CW570" s="323"/>
      <c r="CX570" s="323"/>
      <c r="CY570" s="323"/>
      <c r="CZ570" s="323"/>
    </row>
    <row r="571" spans="19:104" x14ac:dyDescent="0.35">
      <c r="S571" s="174"/>
      <c r="U571" s="251"/>
      <c r="V571" s="251"/>
      <c r="W571" s="340"/>
      <c r="X571" s="340"/>
      <c r="Y571" s="340"/>
      <c r="Z571" s="340"/>
      <c r="AA571" s="340"/>
      <c r="AB571" s="340"/>
      <c r="AC571" s="340"/>
      <c r="AD571" s="340"/>
      <c r="AE571" s="340"/>
      <c r="AF571" s="340"/>
      <c r="AG571" s="340"/>
      <c r="AH571" s="340"/>
      <c r="AI571" s="340"/>
      <c r="AJ571" s="340"/>
      <c r="AK571" s="340"/>
      <c r="AL571" s="340"/>
      <c r="AM571" s="340"/>
      <c r="AN571" s="456"/>
      <c r="AO571" s="456"/>
      <c r="AP571" s="456"/>
      <c r="AQ571" s="456"/>
      <c r="AR571" s="456"/>
      <c r="AS571" s="456"/>
      <c r="AT571" s="456"/>
      <c r="AU571" s="456"/>
      <c r="AV571" s="340"/>
      <c r="AW571" s="340"/>
      <c r="AX571" s="340"/>
      <c r="AY571" s="340"/>
      <c r="AZ571" s="340"/>
      <c r="BA571" s="323"/>
      <c r="BB571" s="323"/>
      <c r="BC571" s="323"/>
      <c r="BD571" s="323"/>
      <c r="BE571" s="323"/>
      <c r="BF571" s="323"/>
      <c r="BG571" s="323"/>
      <c r="BH571" s="323"/>
      <c r="BI571" s="323"/>
      <c r="BJ571" s="323"/>
      <c r="BK571" s="323"/>
      <c r="BL571" s="323"/>
      <c r="BM571" s="323"/>
      <c r="BN571" s="323"/>
      <c r="BO571" s="323"/>
      <c r="BP571" s="323"/>
      <c r="BQ571" s="323"/>
      <c r="BR571" s="323"/>
      <c r="BS571" s="323"/>
      <c r="BT571" s="323"/>
      <c r="BU571" s="323"/>
      <c r="BV571" s="323"/>
      <c r="BW571" s="323"/>
      <c r="BX571" s="323"/>
      <c r="BY571" s="323"/>
      <c r="BZ571" s="323"/>
      <c r="CA571" s="323"/>
      <c r="CB571" s="323"/>
      <c r="CC571" s="323"/>
    </row>
    <row r="572" spans="19:104" x14ac:dyDescent="0.35">
      <c r="S572" s="174"/>
      <c r="U572" s="251"/>
      <c r="V572" s="251"/>
      <c r="W572" s="340"/>
      <c r="X572" s="340"/>
      <c r="Y572" s="340"/>
      <c r="Z572" s="340"/>
      <c r="AA572" s="340"/>
      <c r="AB572" s="340"/>
      <c r="AC572" s="340"/>
      <c r="AD572" s="340"/>
      <c r="AE572" s="340"/>
      <c r="AF572" s="340"/>
      <c r="AG572" s="340"/>
      <c r="AH572" s="340"/>
      <c r="AI572" s="340"/>
      <c r="AJ572" s="340"/>
      <c r="AK572" s="340"/>
      <c r="AL572" s="340"/>
      <c r="AM572" s="340"/>
      <c r="AN572" s="456"/>
      <c r="AO572" s="456"/>
      <c r="AP572" s="456"/>
      <c r="AQ572" s="456"/>
      <c r="AR572" s="456"/>
      <c r="AS572" s="456"/>
      <c r="AT572" s="456"/>
      <c r="AU572" s="456"/>
      <c r="AV572" s="340"/>
      <c r="AW572" s="340"/>
      <c r="AX572" s="340"/>
      <c r="AY572" s="340"/>
      <c r="AZ572" s="340"/>
      <c r="BA572" s="323"/>
      <c r="BB572" s="323"/>
      <c r="BC572" s="323"/>
      <c r="BD572" s="323"/>
      <c r="BE572" s="323"/>
      <c r="BF572" s="323"/>
      <c r="BG572" s="323"/>
      <c r="BH572" s="323"/>
      <c r="BI572" s="323"/>
      <c r="BJ572" s="323"/>
      <c r="BK572" s="323"/>
      <c r="BL572" s="323"/>
      <c r="BM572" s="323"/>
      <c r="BN572" s="323"/>
      <c r="BO572" s="323"/>
      <c r="BP572" s="323"/>
      <c r="BQ572" s="323"/>
      <c r="BR572" s="323"/>
      <c r="BS572" s="323"/>
      <c r="BT572" s="323"/>
      <c r="BU572" s="323"/>
      <c r="BV572" s="323"/>
      <c r="BW572" s="323"/>
      <c r="BX572" s="323"/>
      <c r="BY572" s="323"/>
      <c r="BZ572" s="323"/>
      <c r="CA572" s="323"/>
      <c r="CB572" s="323"/>
      <c r="CC572" s="323"/>
    </row>
    <row r="573" spans="19:104" x14ac:dyDescent="0.35">
      <c r="S573" s="174"/>
      <c r="U573" s="251"/>
      <c r="V573" s="251"/>
      <c r="W573" s="340"/>
      <c r="X573" s="340"/>
      <c r="Y573" s="340"/>
      <c r="Z573" s="340"/>
      <c r="AA573" s="340"/>
      <c r="AB573" s="340"/>
      <c r="AC573" s="340"/>
      <c r="AD573" s="340"/>
      <c r="AE573" s="340"/>
      <c r="AF573" s="340"/>
      <c r="AG573" s="340"/>
      <c r="AH573" s="340"/>
      <c r="AI573" s="340"/>
      <c r="AJ573" s="340"/>
      <c r="AK573" s="340"/>
      <c r="AL573" s="340"/>
      <c r="AM573" s="340"/>
      <c r="AN573" s="456"/>
      <c r="AO573" s="456"/>
      <c r="AP573" s="456"/>
      <c r="AQ573" s="456"/>
      <c r="AR573" s="456"/>
      <c r="AS573" s="456"/>
      <c r="AT573" s="456"/>
      <c r="AU573" s="456"/>
      <c r="AV573" s="340"/>
      <c r="AW573" s="340"/>
      <c r="AX573" s="340"/>
      <c r="AY573" s="340"/>
      <c r="AZ573" s="340"/>
      <c r="BA573" s="323"/>
      <c r="BB573" s="323"/>
      <c r="BC573" s="323"/>
      <c r="BD573" s="323"/>
      <c r="BE573" s="323"/>
      <c r="BF573" s="323"/>
      <c r="BG573" s="323"/>
      <c r="BH573" s="323"/>
      <c r="BI573" s="323"/>
      <c r="BJ573" s="323"/>
      <c r="BK573" s="323"/>
      <c r="BL573" s="323"/>
      <c r="BM573" s="323"/>
      <c r="BN573" s="323"/>
      <c r="BO573" s="323"/>
      <c r="BP573" s="323"/>
      <c r="BQ573" s="323"/>
      <c r="BR573" s="323"/>
      <c r="BS573" s="323"/>
      <c r="BT573" s="323"/>
      <c r="BU573" s="323"/>
      <c r="BV573" s="323"/>
      <c r="BW573" s="323"/>
      <c r="BX573" s="323"/>
      <c r="BY573" s="323"/>
      <c r="BZ573" s="323"/>
      <c r="CA573" s="323"/>
      <c r="CB573" s="323"/>
      <c r="CC573" s="323"/>
    </row>
    <row r="574" spans="19:104" x14ac:dyDescent="0.35">
      <c r="S574" s="174"/>
      <c r="U574" s="251"/>
      <c r="V574" s="251"/>
      <c r="W574" s="340"/>
      <c r="X574" s="340"/>
      <c r="Y574" s="340"/>
      <c r="Z574" s="340"/>
      <c r="AA574" s="340"/>
      <c r="AB574" s="340"/>
      <c r="AC574" s="340"/>
      <c r="AD574" s="340"/>
      <c r="AE574" s="340"/>
      <c r="AF574" s="340"/>
      <c r="AG574" s="340"/>
      <c r="AH574" s="340"/>
      <c r="AI574" s="340"/>
      <c r="AJ574" s="340"/>
      <c r="AK574" s="340"/>
      <c r="AL574" s="340"/>
      <c r="AM574" s="340"/>
      <c r="AN574" s="456"/>
      <c r="AO574" s="456"/>
      <c r="AP574" s="456"/>
      <c r="AQ574" s="456"/>
      <c r="AR574" s="456"/>
      <c r="AS574" s="456"/>
      <c r="AT574" s="456"/>
      <c r="AU574" s="456"/>
      <c r="AV574" s="340"/>
      <c r="AW574" s="340"/>
      <c r="AX574" s="340"/>
      <c r="AY574" s="340"/>
      <c r="AZ574" s="340"/>
      <c r="BA574" s="323"/>
      <c r="BB574" s="323"/>
      <c r="BC574" s="323"/>
      <c r="BD574" s="323"/>
      <c r="BE574" s="323"/>
      <c r="BF574" s="323"/>
      <c r="BG574" s="323"/>
      <c r="BH574" s="323"/>
      <c r="BI574" s="323"/>
      <c r="BJ574" s="323"/>
      <c r="BK574" s="323"/>
      <c r="BL574" s="323"/>
      <c r="BM574" s="323"/>
      <c r="BN574" s="323"/>
      <c r="BO574" s="323"/>
      <c r="BP574" s="323"/>
      <c r="BQ574" s="323"/>
      <c r="BR574" s="323"/>
      <c r="BS574" s="323"/>
      <c r="BT574" s="323"/>
      <c r="BU574" s="323"/>
      <c r="BV574" s="323"/>
      <c r="BW574" s="323"/>
      <c r="BX574" s="323"/>
      <c r="BY574" s="323"/>
      <c r="BZ574" s="323"/>
      <c r="CA574" s="323"/>
      <c r="CB574" s="323"/>
      <c r="CC574" s="323"/>
    </row>
    <row r="575" spans="19:104" x14ac:dyDescent="0.35">
      <c r="S575" s="174"/>
      <c r="U575" s="251"/>
      <c r="V575" s="251"/>
      <c r="W575" s="340"/>
      <c r="X575" s="340"/>
      <c r="Y575" s="340"/>
      <c r="Z575" s="340"/>
      <c r="AA575" s="340"/>
      <c r="AB575" s="340"/>
      <c r="AC575" s="340"/>
      <c r="AD575" s="340"/>
      <c r="AE575" s="340"/>
      <c r="AF575" s="340"/>
      <c r="AG575" s="340"/>
      <c r="AH575" s="340"/>
      <c r="AI575" s="340"/>
      <c r="AJ575" s="340"/>
      <c r="AK575" s="340"/>
      <c r="AL575" s="340"/>
      <c r="AM575" s="340"/>
      <c r="AN575" s="456"/>
      <c r="AO575" s="456"/>
      <c r="AP575" s="456"/>
      <c r="AQ575" s="456"/>
      <c r="AR575" s="456"/>
      <c r="AS575" s="456"/>
      <c r="AT575" s="456"/>
      <c r="AU575" s="456"/>
      <c r="AV575" s="340"/>
      <c r="AW575" s="340"/>
      <c r="AX575" s="340"/>
      <c r="AY575" s="340"/>
      <c r="AZ575" s="340"/>
      <c r="BA575" s="323"/>
      <c r="BB575" s="323"/>
      <c r="BC575" s="323"/>
      <c r="BD575" s="323"/>
      <c r="BE575" s="323"/>
      <c r="BF575" s="323"/>
      <c r="BG575" s="323"/>
      <c r="BH575" s="323"/>
      <c r="BI575" s="323"/>
      <c r="BJ575" s="323"/>
      <c r="BK575" s="323"/>
      <c r="BL575" s="323"/>
      <c r="BM575" s="323"/>
      <c r="BN575" s="323"/>
      <c r="BO575" s="323"/>
      <c r="BP575" s="323"/>
      <c r="BQ575" s="323"/>
      <c r="BR575" s="323"/>
      <c r="BS575" s="323"/>
      <c r="BT575" s="323"/>
      <c r="BU575" s="323"/>
      <c r="BV575" s="323"/>
      <c r="BW575" s="323"/>
      <c r="BX575" s="323"/>
      <c r="BY575" s="323"/>
      <c r="BZ575" s="323"/>
      <c r="CA575" s="323"/>
      <c r="CB575" s="323"/>
      <c r="CC575" s="323"/>
    </row>
    <row r="576" spans="19:104" x14ac:dyDescent="0.35">
      <c r="S576" s="174"/>
      <c r="W576" s="341"/>
      <c r="X576" s="340"/>
      <c r="Y576" s="340"/>
      <c r="Z576" s="340"/>
      <c r="AA576" s="340"/>
      <c r="AB576" s="340"/>
      <c r="AC576" s="340"/>
      <c r="AD576" s="340"/>
      <c r="AE576" s="340"/>
      <c r="AF576" s="340"/>
      <c r="AG576" s="340"/>
      <c r="AH576" s="340"/>
      <c r="AI576" s="340"/>
      <c r="AJ576" s="340"/>
      <c r="AK576" s="340"/>
      <c r="AL576" s="340"/>
      <c r="AM576" s="340"/>
      <c r="AN576" s="456"/>
      <c r="AO576" s="456"/>
      <c r="AP576" s="456"/>
      <c r="AQ576" s="456"/>
      <c r="AR576" s="456"/>
      <c r="AS576" s="456"/>
      <c r="AT576" s="456"/>
      <c r="AU576" s="456"/>
      <c r="AV576" s="340"/>
      <c r="AW576" s="340"/>
      <c r="AX576" s="340"/>
      <c r="AY576" s="340"/>
      <c r="AZ576" s="340"/>
      <c r="BA576" s="323"/>
      <c r="BB576" s="323"/>
      <c r="BC576" s="323"/>
      <c r="BD576" s="323"/>
      <c r="BE576" s="323"/>
      <c r="BF576" s="323"/>
      <c r="BG576" s="323"/>
      <c r="BH576" s="323"/>
      <c r="BI576" s="323"/>
      <c r="BJ576" s="323"/>
      <c r="BK576" s="323"/>
      <c r="BL576" s="323"/>
      <c r="BM576" s="323"/>
      <c r="BN576" s="323"/>
      <c r="BO576" s="323"/>
      <c r="BP576" s="323"/>
      <c r="BQ576" s="323"/>
      <c r="BR576" s="323"/>
      <c r="BS576" s="323"/>
      <c r="BT576" s="323"/>
      <c r="BU576" s="323"/>
      <c r="BV576" s="323"/>
      <c r="BW576" s="323"/>
      <c r="BX576" s="323"/>
      <c r="BY576" s="323"/>
      <c r="BZ576" s="323"/>
      <c r="CA576" s="323"/>
      <c r="CB576" s="323"/>
      <c r="CC576" s="323"/>
    </row>
    <row r="577" spans="19:81" x14ac:dyDescent="0.35">
      <c r="S577" s="174"/>
      <c r="W577" s="341"/>
      <c r="X577" s="340"/>
      <c r="Y577" s="340"/>
      <c r="Z577" s="340"/>
      <c r="AA577" s="340"/>
      <c r="AB577" s="340"/>
      <c r="AC577" s="340"/>
      <c r="AD577" s="340"/>
      <c r="AE577" s="340"/>
      <c r="AF577" s="340"/>
      <c r="AG577" s="340"/>
      <c r="AH577" s="340"/>
      <c r="AI577" s="340"/>
      <c r="AJ577" s="340"/>
      <c r="AK577" s="340"/>
      <c r="AL577" s="340"/>
      <c r="AM577" s="340"/>
      <c r="AN577" s="456"/>
      <c r="AO577" s="456"/>
      <c r="AP577" s="456"/>
      <c r="AQ577" s="456"/>
      <c r="AR577" s="456"/>
      <c r="AS577" s="456"/>
      <c r="AT577" s="456"/>
      <c r="AU577" s="456"/>
      <c r="AV577" s="340"/>
      <c r="AW577" s="340"/>
      <c r="AX577" s="340"/>
      <c r="AY577" s="340"/>
      <c r="AZ577" s="340"/>
      <c r="BA577" s="323"/>
      <c r="BB577" s="323"/>
      <c r="BC577" s="323"/>
      <c r="BD577" s="323"/>
      <c r="BE577" s="323"/>
      <c r="BF577" s="323"/>
      <c r="BG577" s="323"/>
      <c r="BH577" s="323"/>
      <c r="BI577" s="323"/>
      <c r="BJ577" s="323"/>
      <c r="BK577" s="323"/>
      <c r="BL577" s="323"/>
      <c r="BM577" s="323"/>
      <c r="BN577" s="323"/>
      <c r="BO577" s="323"/>
      <c r="BP577" s="323"/>
      <c r="BQ577" s="323"/>
      <c r="BR577" s="323"/>
      <c r="BS577" s="323"/>
      <c r="BT577" s="323"/>
      <c r="BU577" s="323"/>
      <c r="BV577" s="323"/>
      <c r="BW577" s="323"/>
      <c r="BX577" s="323"/>
      <c r="BY577" s="323"/>
      <c r="BZ577" s="323"/>
      <c r="CA577" s="323"/>
      <c r="CB577" s="323"/>
      <c r="CC577" s="323"/>
    </row>
    <row r="578" spans="19:81" x14ac:dyDescent="0.35">
      <c r="S578" s="174"/>
      <c r="W578" s="341"/>
      <c r="X578" s="340"/>
      <c r="Y578" s="340"/>
      <c r="Z578" s="340"/>
      <c r="AA578" s="340"/>
      <c r="AB578" s="340"/>
      <c r="AC578" s="340"/>
      <c r="AD578" s="340"/>
      <c r="AE578" s="340"/>
      <c r="AF578" s="340"/>
      <c r="AG578" s="340"/>
      <c r="AH578" s="340"/>
      <c r="AI578" s="340"/>
      <c r="AJ578" s="340"/>
      <c r="AK578" s="340"/>
      <c r="AL578" s="340"/>
      <c r="AM578" s="340"/>
      <c r="AN578" s="456"/>
      <c r="AO578" s="456"/>
      <c r="AP578" s="456"/>
      <c r="AQ578" s="456"/>
      <c r="AR578" s="456"/>
      <c r="AS578" s="456"/>
      <c r="AT578" s="456"/>
      <c r="AU578" s="456"/>
      <c r="AV578" s="340"/>
      <c r="AW578" s="340"/>
      <c r="AX578" s="340"/>
      <c r="AY578" s="340"/>
      <c r="AZ578" s="340"/>
      <c r="BA578" s="323"/>
      <c r="BB578" s="323"/>
      <c r="BC578" s="323"/>
      <c r="BD578" s="323"/>
      <c r="BE578" s="323"/>
      <c r="BF578" s="323"/>
      <c r="BG578" s="323"/>
      <c r="BH578" s="323"/>
      <c r="BI578" s="323"/>
      <c r="BJ578" s="323"/>
      <c r="BK578" s="323"/>
      <c r="BL578" s="323"/>
      <c r="BM578" s="323"/>
      <c r="BN578" s="323"/>
      <c r="BO578" s="323"/>
      <c r="BP578" s="323"/>
      <c r="BQ578" s="323"/>
      <c r="BR578" s="323"/>
      <c r="BS578" s="323"/>
      <c r="BT578" s="323"/>
      <c r="BU578" s="323"/>
      <c r="BV578" s="323"/>
      <c r="BW578" s="323"/>
      <c r="BX578" s="323"/>
      <c r="BY578" s="323"/>
      <c r="BZ578" s="323"/>
      <c r="CA578" s="323"/>
      <c r="CB578" s="323"/>
      <c r="CC578" s="323"/>
    </row>
    <row r="579" spans="19:81" x14ac:dyDescent="0.35">
      <c r="S579" s="174"/>
      <c r="W579" s="341"/>
      <c r="X579" s="340"/>
      <c r="Y579" s="340"/>
      <c r="Z579" s="340"/>
      <c r="AA579" s="340"/>
      <c r="AB579" s="340"/>
      <c r="AC579" s="340"/>
      <c r="AD579" s="340"/>
      <c r="AE579" s="340"/>
      <c r="AF579" s="340"/>
      <c r="AG579" s="340"/>
      <c r="AH579" s="340"/>
      <c r="AI579" s="340"/>
      <c r="AJ579" s="340"/>
      <c r="AK579" s="340"/>
      <c r="AL579" s="340"/>
      <c r="AM579" s="340"/>
      <c r="AN579" s="456"/>
      <c r="AO579" s="456"/>
      <c r="AP579" s="456"/>
      <c r="AQ579" s="456"/>
      <c r="AR579" s="456"/>
      <c r="AS579" s="456"/>
      <c r="AT579" s="456"/>
      <c r="AU579" s="456"/>
      <c r="AV579" s="340"/>
      <c r="AW579" s="340"/>
      <c r="AX579" s="340"/>
      <c r="AY579" s="340"/>
      <c r="AZ579" s="340"/>
      <c r="BA579" s="323"/>
      <c r="BB579" s="323"/>
      <c r="BC579" s="323"/>
      <c r="BD579" s="323"/>
      <c r="BE579" s="323"/>
      <c r="BF579" s="323"/>
      <c r="BG579" s="323"/>
      <c r="BH579" s="323"/>
      <c r="BI579" s="323"/>
      <c r="BJ579" s="323"/>
      <c r="BK579" s="323"/>
      <c r="BL579" s="323"/>
      <c r="BM579" s="323"/>
      <c r="BN579" s="323"/>
      <c r="BO579" s="323"/>
      <c r="BP579" s="323"/>
      <c r="BQ579" s="323"/>
      <c r="BR579" s="323"/>
      <c r="BS579" s="323"/>
      <c r="BT579" s="323"/>
      <c r="BU579" s="323"/>
      <c r="BV579" s="323"/>
      <c r="BW579" s="323"/>
      <c r="BX579" s="323"/>
      <c r="BY579" s="323"/>
      <c r="BZ579" s="323"/>
      <c r="CA579" s="323"/>
      <c r="CB579" s="323"/>
      <c r="CC579" s="323"/>
    </row>
    <row r="580" spans="19:81" x14ac:dyDescent="0.35">
      <c r="S580" s="174"/>
      <c r="W580" s="341"/>
      <c r="X580" s="340"/>
      <c r="Y580" s="340"/>
      <c r="Z580" s="340"/>
      <c r="AA580" s="340"/>
      <c r="AB580" s="340"/>
      <c r="AC580" s="340"/>
      <c r="AD580" s="340"/>
      <c r="AE580" s="340"/>
      <c r="AF580" s="340"/>
      <c r="AG580" s="340"/>
      <c r="AH580" s="340"/>
      <c r="AI580" s="340"/>
      <c r="AJ580" s="340"/>
      <c r="AK580" s="340"/>
      <c r="AL580" s="340"/>
      <c r="AM580" s="340"/>
      <c r="AN580" s="456"/>
      <c r="AO580" s="456"/>
      <c r="AP580" s="456"/>
      <c r="AQ580" s="456"/>
      <c r="AR580" s="456"/>
      <c r="AS580" s="456"/>
      <c r="AT580" s="456"/>
      <c r="AU580" s="456"/>
      <c r="AV580" s="340"/>
      <c r="AW580" s="340"/>
      <c r="AX580" s="340"/>
      <c r="AY580" s="340"/>
      <c r="AZ580" s="340"/>
      <c r="BA580" s="323"/>
      <c r="BB580" s="323"/>
      <c r="BC580" s="323"/>
      <c r="BD580" s="323"/>
      <c r="BE580" s="323"/>
      <c r="BF580" s="323"/>
      <c r="BG580" s="323"/>
      <c r="BH580" s="323"/>
      <c r="BI580" s="323"/>
      <c r="BJ580" s="323"/>
      <c r="BK580" s="323"/>
      <c r="BL580" s="323"/>
      <c r="BM580" s="323"/>
      <c r="BN580" s="323"/>
      <c r="BO580" s="323"/>
      <c r="BP580" s="323"/>
      <c r="BQ580" s="323"/>
      <c r="BR580" s="323"/>
      <c r="BS580" s="323"/>
      <c r="BT580" s="323"/>
      <c r="BU580" s="323"/>
      <c r="BV580" s="323"/>
      <c r="BW580" s="323"/>
      <c r="BX580" s="323"/>
      <c r="BY580" s="323"/>
      <c r="BZ580" s="323"/>
      <c r="CA580" s="323"/>
      <c r="CB580" s="323"/>
      <c r="CC580" s="323"/>
    </row>
    <row r="581" spans="19:81" x14ac:dyDescent="0.35">
      <c r="S581" s="174"/>
      <c r="W581" s="305"/>
      <c r="X581" s="323"/>
      <c r="Y581" s="323"/>
      <c r="Z581" s="323"/>
      <c r="AA581" s="323"/>
      <c r="AB581" s="323"/>
      <c r="AC581" s="323"/>
      <c r="AD581" s="323"/>
      <c r="AE581" s="323"/>
      <c r="AF581" s="323"/>
      <c r="AG581" s="323"/>
      <c r="AH581" s="323"/>
      <c r="AI581" s="323"/>
      <c r="AJ581" s="323"/>
      <c r="AK581" s="323"/>
      <c r="AL581" s="323"/>
      <c r="AM581" s="323"/>
      <c r="AN581" s="457"/>
      <c r="AO581" s="457"/>
      <c r="AP581" s="457"/>
      <c r="AQ581" s="457"/>
      <c r="AR581" s="457"/>
      <c r="AS581" s="457"/>
      <c r="AT581" s="457"/>
      <c r="AU581" s="457"/>
      <c r="AV581" s="323"/>
      <c r="AW581" s="323"/>
      <c r="AX581" s="323"/>
      <c r="AY581" s="323"/>
      <c r="AZ581" s="323"/>
      <c r="BA581" s="323"/>
      <c r="BB581" s="323"/>
      <c r="BC581" s="323"/>
      <c r="BD581" s="323"/>
      <c r="BE581" s="323"/>
      <c r="BF581" s="323"/>
      <c r="BG581" s="323"/>
      <c r="BH581" s="323"/>
      <c r="BI581" s="323"/>
      <c r="BJ581" s="323"/>
      <c r="BK581" s="323"/>
      <c r="BL581" s="323"/>
      <c r="BM581" s="323"/>
      <c r="BN581" s="323"/>
      <c r="BO581" s="323"/>
      <c r="BP581" s="323"/>
      <c r="BQ581" s="323"/>
      <c r="BR581" s="323"/>
      <c r="BS581" s="323"/>
      <c r="BT581" s="323"/>
      <c r="BU581" s="323"/>
      <c r="BV581" s="323"/>
      <c r="BW581" s="323"/>
      <c r="BX581" s="323"/>
      <c r="BY581" s="323"/>
      <c r="BZ581" s="323"/>
      <c r="CA581" s="323"/>
      <c r="CB581" s="323"/>
      <c r="CC581" s="323"/>
    </row>
    <row r="582" spans="19:81" x14ac:dyDescent="0.35">
      <c r="W582" s="305"/>
      <c r="X582" s="323"/>
      <c r="Y582" s="323"/>
      <c r="Z582" s="323"/>
      <c r="AA582" s="323"/>
      <c r="AB582" s="323"/>
      <c r="AC582" s="323"/>
      <c r="AD582" s="323"/>
      <c r="AE582" s="323"/>
      <c r="AF582" s="323"/>
      <c r="AG582" s="323"/>
      <c r="AH582" s="323"/>
      <c r="AI582" s="323"/>
      <c r="AJ582" s="323"/>
      <c r="AK582" s="323"/>
      <c r="AL582" s="323"/>
      <c r="AM582" s="323"/>
      <c r="AN582" s="457"/>
      <c r="AO582" s="457"/>
      <c r="AP582" s="457"/>
      <c r="AQ582" s="457"/>
      <c r="AR582" s="457"/>
      <c r="AS582" s="457"/>
      <c r="AT582" s="457"/>
      <c r="AU582" s="457"/>
      <c r="AV582" s="323"/>
      <c r="AW582" s="323"/>
      <c r="AX582" s="323"/>
      <c r="AY582" s="323"/>
      <c r="AZ582" s="323"/>
      <c r="BA582" s="323"/>
      <c r="BB582" s="323"/>
      <c r="BC582" s="323"/>
      <c r="BD582" s="323"/>
      <c r="BE582" s="323"/>
      <c r="BF582" s="323"/>
      <c r="BG582" s="323"/>
      <c r="BH582" s="323"/>
      <c r="BI582" s="323"/>
      <c r="BJ582" s="323"/>
      <c r="BK582" s="323"/>
      <c r="BL582" s="323"/>
      <c r="BM582" s="323"/>
      <c r="BN582" s="323"/>
      <c r="BO582" s="323"/>
      <c r="BP582" s="323"/>
      <c r="BQ582" s="323"/>
      <c r="BR582" s="323"/>
      <c r="BS582" s="323"/>
      <c r="BT582" s="323"/>
      <c r="BU582" s="323"/>
      <c r="BV582" s="323"/>
      <c r="BW582" s="323"/>
      <c r="BX582" s="323"/>
      <c r="BY582" s="323"/>
      <c r="BZ582" s="323"/>
      <c r="CA582" s="323"/>
      <c r="CB582" s="323"/>
      <c r="CC582" s="323"/>
    </row>
    <row r="583" spans="19:81" x14ac:dyDescent="0.35">
      <c r="W583" s="305"/>
      <c r="X583" s="323"/>
      <c r="Y583" s="323"/>
      <c r="Z583" s="323"/>
      <c r="AA583" s="323"/>
      <c r="AB583" s="323"/>
      <c r="AC583" s="323"/>
      <c r="AD583" s="323"/>
      <c r="AE583" s="323"/>
      <c r="AF583" s="323"/>
      <c r="AG583" s="323"/>
      <c r="AH583" s="323"/>
      <c r="AI583" s="323"/>
      <c r="AJ583" s="323"/>
      <c r="AK583" s="323"/>
      <c r="AL583" s="323"/>
      <c r="AM583" s="323"/>
      <c r="AN583" s="457"/>
      <c r="AO583" s="457"/>
      <c r="AP583" s="457"/>
      <c r="AQ583" s="457"/>
      <c r="AR583" s="457"/>
      <c r="AS583" s="457"/>
      <c r="AT583" s="457"/>
      <c r="AU583" s="457"/>
      <c r="AV583" s="323"/>
      <c r="AW583" s="323"/>
      <c r="AX583" s="323"/>
      <c r="AY583" s="323"/>
      <c r="AZ583" s="323"/>
      <c r="BA583" s="323"/>
      <c r="BB583" s="323"/>
      <c r="BC583" s="323"/>
      <c r="BD583" s="323"/>
      <c r="BE583" s="323"/>
      <c r="BF583" s="323"/>
      <c r="BG583" s="323"/>
      <c r="BH583" s="323"/>
      <c r="BI583" s="323"/>
      <c r="BJ583" s="323"/>
      <c r="BK583" s="323"/>
      <c r="BL583" s="323"/>
      <c r="BM583" s="323"/>
      <c r="BN583" s="323"/>
      <c r="BO583" s="323"/>
      <c r="BP583" s="323"/>
      <c r="BQ583" s="323"/>
      <c r="BR583" s="323"/>
      <c r="BS583" s="323"/>
      <c r="BT583" s="323"/>
      <c r="BU583" s="323"/>
      <c r="BV583" s="323"/>
      <c r="BW583" s="323"/>
      <c r="BX583" s="323"/>
      <c r="BY583" s="323"/>
      <c r="BZ583" s="323"/>
      <c r="CA583" s="323"/>
      <c r="CB583" s="323"/>
      <c r="CC583" s="323"/>
    </row>
    <row r="584" spans="19:81" x14ac:dyDescent="0.35">
      <c r="W584" s="305"/>
      <c r="X584" s="323"/>
      <c r="Y584" s="323"/>
      <c r="Z584" s="323"/>
      <c r="AA584" s="323"/>
      <c r="AB584" s="323"/>
      <c r="AC584" s="323"/>
      <c r="AD584" s="323"/>
      <c r="AE584" s="323"/>
      <c r="AF584" s="323"/>
      <c r="AG584" s="323"/>
      <c r="AH584" s="323"/>
      <c r="AI584" s="323"/>
      <c r="AJ584" s="323"/>
      <c r="AK584" s="323"/>
      <c r="AL584" s="323"/>
      <c r="AM584" s="323"/>
      <c r="AN584" s="457"/>
      <c r="AO584" s="457"/>
      <c r="AP584" s="457"/>
      <c r="AQ584" s="457"/>
      <c r="AR584" s="457"/>
      <c r="AS584" s="457"/>
      <c r="AT584" s="457"/>
      <c r="AU584" s="457"/>
      <c r="AV584" s="323"/>
      <c r="AW584" s="323"/>
      <c r="AX584" s="323"/>
      <c r="AY584" s="323"/>
      <c r="AZ584" s="323"/>
      <c r="BA584" s="323"/>
      <c r="BB584" s="323"/>
      <c r="BC584" s="323"/>
      <c r="BD584" s="323"/>
      <c r="BE584" s="323"/>
      <c r="BF584" s="323"/>
      <c r="BG584" s="323"/>
      <c r="BH584" s="323"/>
      <c r="BI584" s="323"/>
      <c r="BJ584" s="323"/>
      <c r="BK584" s="323"/>
      <c r="BL584" s="323"/>
      <c r="BM584" s="323"/>
      <c r="BN584" s="323"/>
      <c r="BO584" s="323"/>
      <c r="BP584" s="323"/>
      <c r="BQ584" s="323"/>
      <c r="BR584" s="323"/>
      <c r="BS584" s="323"/>
      <c r="BT584" s="323"/>
      <c r="BU584" s="323"/>
      <c r="BV584" s="323"/>
      <c r="BW584" s="323"/>
      <c r="BX584" s="323"/>
      <c r="BY584" s="323"/>
      <c r="BZ584" s="323"/>
      <c r="CA584" s="323"/>
      <c r="CB584" s="323"/>
      <c r="CC584" s="323"/>
    </row>
    <row r="585" spans="19:81" x14ac:dyDescent="0.35">
      <c r="W585" s="305"/>
      <c r="X585" s="323"/>
      <c r="Y585" s="323"/>
      <c r="Z585" s="323"/>
      <c r="AA585" s="323"/>
      <c r="AB585" s="323"/>
      <c r="AC585" s="323"/>
      <c r="AD585" s="323"/>
      <c r="AE585" s="323"/>
      <c r="AF585" s="323"/>
      <c r="AG585" s="323"/>
      <c r="AH585" s="323"/>
      <c r="AI585" s="323"/>
      <c r="AJ585" s="323"/>
      <c r="AK585" s="323"/>
      <c r="AL585" s="323"/>
      <c r="AM585" s="323"/>
      <c r="AN585" s="457"/>
      <c r="AO585" s="457"/>
      <c r="AP585" s="457"/>
      <c r="AQ585" s="457"/>
      <c r="AR585" s="457"/>
      <c r="AS585" s="457"/>
      <c r="AT585" s="457"/>
      <c r="AU585" s="457"/>
      <c r="AV585" s="323"/>
      <c r="AW585" s="323"/>
      <c r="AX585" s="323"/>
      <c r="AY585" s="323"/>
      <c r="AZ585" s="323"/>
      <c r="BA585" s="323"/>
      <c r="BB585" s="323"/>
      <c r="BC585" s="323"/>
      <c r="BD585" s="323"/>
      <c r="BE585" s="323"/>
      <c r="BF585" s="323"/>
      <c r="BG585" s="323"/>
      <c r="BH585" s="323"/>
      <c r="BI585" s="323"/>
      <c r="BJ585" s="323"/>
      <c r="BK585" s="323"/>
      <c r="BL585" s="323"/>
      <c r="BM585" s="323"/>
      <c r="BN585" s="323"/>
      <c r="BO585" s="323"/>
      <c r="BP585" s="323"/>
      <c r="BQ585" s="323"/>
      <c r="BR585" s="323"/>
      <c r="BS585" s="323"/>
      <c r="BT585" s="323"/>
      <c r="BU585" s="323"/>
      <c r="BV585" s="323"/>
      <c r="BW585" s="323"/>
      <c r="BX585" s="323"/>
      <c r="BY585" s="323"/>
      <c r="BZ585" s="323"/>
      <c r="CA585" s="323"/>
      <c r="CB585" s="323"/>
      <c r="CC585" s="323"/>
    </row>
    <row r="586" spans="19:81" x14ac:dyDescent="0.35">
      <c r="W586" s="305"/>
      <c r="X586" s="323"/>
      <c r="Y586" s="323"/>
      <c r="Z586" s="323"/>
      <c r="AA586" s="323"/>
      <c r="AB586" s="323"/>
      <c r="AC586" s="323"/>
      <c r="AD586" s="323"/>
      <c r="AE586" s="323"/>
      <c r="AF586" s="323"/>
      <c r="AG586" s="323"/>
      <c r="AH586" s="323"/>
      <c r="AI586" s="323"/>
      <c r="AJ586" s="323"/>
      <c r="AK586" s="323"/>
      <c r="AL586" s="323"/>
      <c r="AM586" s="323"/>
      <c r="AN586" s="457"/>
      <c r="AO586" s="457"/>
      <c r="AP586" s="457"/>
      <c r="AQ586" s="457"/>
      <c r="AR586" s="457"/>
      <c r="AS586" s="457"/>
      <c r="AT586" s="457"/>
      <c r="AU586" s="457"/>
      <c r="AV586" s="323"/>
      <c r="AW586" s="323"/>
      <c r="AX586" s="323"/>
      <c r="AY586" s="323"/>
      <c r="AZ586" s="323"/>
      <c r="BA586" s="323"/>
      <c r="BB586" s="323"/>
      <c r="BC586" s="323"/>
      <c r="BD586" s="323"/>
      <c r="BE586" s="323"/>
      <c r="BF586" s="323"/>
      <c r="BG586" s="323"/>
      <c r="BH586" s="323"/>
      <c r="BI586" s="323"/>
      <c r="BJ586" s="323"/>
      <c r="BK586" s="323"/>
      <c r="BL586" s="323"/>
      <c r="BM586" s="323"/>
      <c r="BN586" s="323"/>
      <c r="BO586" s="323"/>
      <c r="BP586" s="323"/>
      <c r="BQ586" s="323"/>
      <c r="BR586" s="323"/>
      <c r="BS586" s="323"/>
      <c r="BT586" s="323"/>
      <c r="BU586" s="323"/>
      <c r="BV586" s="323"/>
      <c r="BW586" s="323"/>
      <c r="BX586" s="323"/>
      <c r="BY586" s="323"/>
      <c r="BZ586" s="323"/>
      <c r="CA586" s="323"/>
      <c r="CB586" s="323"/>
      <c r="CC586" s="323"/>
    </row>
    <row r="587" spans="19:81" x14ac:dyDescent="0.35">
      <c r="W587" s="305"/>
      <c r="X587" s="323"/>
      <c r="Y587" s="323"/>
      <c r="Z587" s="323"/>
      <c r="AA587" s="323"/>
      <c r="AB587" s="323"/>
      <c r="AC587" s="323"/>
      <c r="AD587" s="323"/>
      <c r="AE587" s="323"/>
      <c r="AF587" s="323"/>
      <c r="AG587" s="323"/>
      <c r="AH587" s="323"/>
      <c r="AI587" s="323"/>
      <c r="AJ587" s="323"/>
      <c r="AK587" s="323"/>
      <c r="AL587" s="323"/>
      <c r="AM587" s="323"/>
      <c r="AN587" s="457"/>
      <c r="AO587" s="457"/>
      <c r="AP587" s="457"/>
      <c r="AQ587" s="457"/>
      <c r="AR587" s="457"/>
      <c r="AS587" s="457"/>
      <c r="AT587" s="457"/>
      <c r="AU587" s="457"/>
      <c r="AV587" s="323"/>
      <c r="AW587" s="323"/>
      <c r="AX587" s="323"/>
      <c r="AY587" s="323"/>
      <c r="AZ587" s="323"/>
      <c r="BA587" s="323"/>
      <c r="BB587" s="323"/>
      <c r="BC587" s="323"/>
      <c r="BD587" s="323"/>
      <c r="BE587" s="323"/>
      <c r="BF587" s="323"/>
      <c r="BG587" s="323"/>
      <c r="BH587" s="323"/>
      <c r="BI587" s="323"/>
      <c r="BJ587" s="323"/>
      <c r="BK587" s="323"/>
      <c r="BL587" s="323"/>
      <c r="BM587" s="323"/>
      <c r="BN587" s="323"/>
      <c r="BO587" s="323"/>
      <c r="BP587" s="323"/>
      <c r="BQ587" s="323"/>
      <c r="BR587" s="323"/>
      <c r="BS587" s="323"/>
      <c r="BT587" s="323"/>
      <c r="BU587" s="323"/>
      <c r="BV587" s="323"/>
      <c r="BW587" s="323"/>
      <c r="BX587" s="323"/>
      <c r="BY587" s="323"/>
      <c r="BZ587" s="323"/>
      <c r="CA587" s="323"/>
      <c r="CB587" s="323"/>
      <c r="CC587" s="323"/>
    </row>
    <row r="588" spans="19:81" x14ac:dyDescent="0.35">
      <c r="W588" s="305"/>
      <c r="X588" s="323"/>
      <c r="Y588" s="323"/>
      <c r="Z588" s="323"/>
      <c r="AA588" s="323"/>
      <c r="AB588" s="323"/>
      <c r="AC588" s="323"/>
      <c r="AD588" s="323"/>
      <c r="AE588" s="323"/>
      <c r="AF588" s="323"/>
      <c r="AG588" s="323"/>
      <c r="AH588" s="323"/>
      <c r="AI588" s="323"/>
      <c r="AJ588" s="323"/>
      <c r="AK588" s="323"/>
      <c r="AL588" s="323"/>
      <c r="AM588" s="323"/>
      <c r="AN588" s="457"/>
      <c r="AO588" s="457"/>
      <c r="AP588" s="457"/>
      <c r="AQ588" s="457"/>
      <c r="AR588" s="457"/>
      <c r="AS588" s="457"/>
      <c r="AT588" s="457"/>
      <c r="AU588" s="457"/>
      <c r="AV588" s="323"/>
      <c r="AW588" s="323"/>
      <c r="AX588" s="323"/>
      <c r="AY588" s="323"/>
      <c r="AZ588" s="323"/>
      <c r="BA588" s="323"/>
      <c r="BB588" s="323"/>
      <c r="BC588" s="323"/>
      <c r="BD588" s="323"/>
      <c r="BE588" s="323"/>
      <c r="BF588" s="323"/>
      <c r="BG588" s="323"/>
      <c r="BH588" s="323"/>
      <c r="BI588" s="323"/>
      <c r="BJ588" s="323"/>
      <c r="BK588" s="323"/>
      <c r="BL588" s="323"/>
      <c r="BM588" s="323"/>
      <c r="BN588" s="323"/>
      <c r="BO588" s="323"/>
      <c r="BP588" s="323"/>
      <c r="BQ588" s="323"/>
      <c r="BR588" s="323"/>
      <c r="BS588" s="323"/>
      <c r="BT588" s="323"/>
      <c r="BU588" s="323"/>
      <c r="BV588" s="323"/>
      <c r="BW588" s="323"/>
      <c r="BX588" s="323"/>
      <c r="BY588" s="323"/>
      <c r="BZ588" s="323"/>
      <c r="CA588" s="323"/>
      <c r="CB588" s="323"/>
      <c r="CC588" s="323"/>
    </row>
    <row r="589" spans="19:81" x14ac:dyDescent="0.35">
      <c r="W589" s="305"/>
      <c r="X589" s="323"/>
      <c r="Y589" s="323"/>
      <c r="Z589" s="323"/>
      <c r="AA589" s="323"/>
      <c r="AB589" s="323"/>
      <c r="AC589" s="323"/>
      <c r="AD589" s="323"/>
      <c r="AE589" s="323"/>
      <c r="AF589" s="323"/>
      <c r="AG589" s="323"/>
      <c r="AH589" s="323"/>
      <c r="AI589" s="323"/>
      <c r="AJ589" s="323"/>
      <c r="AK589" s="323"/>
      <c r="AL589" s="323"/>
      <c r="AM589" s="323"/>
      <c r="AN589" s="457"/>
      <c r="AO589" s="457"/>
      <c r="AP589" s="457"/>
      <c r="AQ589" s="457"/>
      <c r="AR589" s="457"/>
      <c r="AS589" s="457"/>
      <c r="AT589" s="457"/>
      <c r="AU589" s="457"/>
      <c r="AV589" s="323"/>
      <c r="AW589" s="323"/>
      <c r="AX589" s="323"/>
      <c r="AY589" s="323"/>
      <c r="AZ589" s="323"/>
      <c r="BA589" s="323"/>
      <c r="BB589" s="323"/>
      <c r="BC589" s="323"/>
      <c r="BD589" s="323"/>
      <c r="BE589" s="323"/>
      <c r="BF589" s="323"/>
      <c r="BG589" s="323"/>
      <c r="BH589" s="323"/>
      <c r="BI589" s="323"/>
      <c r="BJ589" s="323"/>
      <c r="BK589" s="323"/>
      <c r="BL589" s="323"/>
      <c r="BM589" s="323"/>
      <c r="BN589" s="323"/>
      <c r="BO589" s="323"/>
      <c r="BP589" s="323"/>
      <c r="BQ589" s="323"/>
      <c r="BR589" s="323"/>
      <c r="BS589" s="323"/>
      <c r="BT589" s="323"/>
      <c r="BU589" s="323"/>
      <c r="BV589" s="323"/>
      <c r="BW589" s="323"/>
      <c r="BX589" s="323"/>
      <c r="BY589" s="323"/>
      <c r="BZ589" s="323"/>
      <c r="CA589" s="323"/>
      <c r="CB589" s="323"/>
      <c r="CC589" s="323"/>
    </row>
    <row r="590" spans="19:81" x14ac:dyDescent="0.35">
      <c r="W590" s="305"/>
      <c r="X590" s="323"/>
      <c r="Y590" s="323"/>
      <c r="Z590" s="323"/>
      <c r="AA590" s="323"/>
      <c r="AB590" s="323"/>
      <c r="AC590" s="323"/>
      <c r="AD590" s="323"/>
      <c r="AE590" s="323"/>
      <c r="AF590" s="323"/>
      <c r="AG590" s="323"/>
      <c r="AH590" s="323"/>
      <c r="AI590" s="323"/>
      <c r="AJ590" s="323"/>
      <c r="AK590" s="323"/>
      <c r="AL590" s="323"/>
      <c r="AM590" s="323"/>
      <c r="AN590" s="457"/>
      <c r="AO590" s="457"/>
      <c r="AP590" s="457"/>
      <c r="AQ590" s="457"/>
      <c r="AR590" s="457"/>
      <c r="AS590" s="457"/>
      <c r="AT590" s="457"/>
      <c r="AU590" s="457"/>
      <c r="AV590" s="323"/>
      <c r="AW590" s="323"/>
      <c r="AX590" s="323"/>
      <c r="AY590" s="323"/>
      <c r="AZ590" s="323"/>
      <c r="BA590" s="323"/>
      <c r="BB590" s="323"/>
      <c r="BC590" s="323"/>
      <c r="BD590" s="323"/>
      <c r="BE590" s="323"/>
      <c r="BF590" s="323"/>
      <c r="BG590" s="323"/>
      <c r="BH590" s="323"/>
      <c r="BI590" s="323"/>
      <c r="BJ590" s="323"/>
      <c r="BK590" s="323"/>
      <c r="BL590" s="323"/>
      <c r="BM590" s="323"/>
      <c r="BN590" s="323"/>
      <c r="BO590" s="323"/>
      <c r="BP590" s="323"/>
      <c r="BQ590" s="323"/>
      <c r="BR590" s="323"/>
      <c r="BS590" s="323"/>
      <c r="BT590" s="323"/>
      <c r="BU590" s="323"/>
      <c r="BV590" s="323"/>
      <c r="BW590" s="323"/>
      <c r="BX590" s="323"/>
      <c r="BY590" s="323"/>
      <c r="BZ590" s="323"/>
      <c r="CA590" s="323"/>
      <c r="CB590" s="323"/>
      <c r="CC590" s="323"/>
    </row>
    <row r="591" spans="19:81" x14ac:dyDescent="0.35">
      <c r="W591" s="305"/>
      <c r="X591" s="323"/>
      <c r="Y591" s="323"/>
      <c r="Z591" s="323"/>
      <c r="AA591" s="323"/>
      <c r="AB591" s="323"/>
      <c r="AC591" s="323"/>
      <c r="AD591" s="323"/>
      <c r="AE591" s="323"/>
      <c r="AF591" s="323"/>
      <c r="AG591" s="323"/>
      <c r="AH591" s="323"/>
      <c r="AI591" s="323"/>
      <c r="AJ591" s="323"/>
      <c r="AK591" s="323"/>
      <c r="AL591" s="323"/>
      <c r="AM591" s="323"/>
      <c r="AN591" s="457"/>
      <c r="AO591" s="457"/>
      <c r="AP591" s="457"/>
      <c r="AQ591" s="457"/>
      <c r="AR591" s="457"/>
      <c r="AS591" s="457"/>
      <c r="AT591" s="457"/>
      <c r="AU591" s="457"/>
      <c r="AV591" s="323"/>
      <c r="AW591" s="323"/>
      <c r="AX591" s="323"/>
      <c r="AY591" s="323"/>
      <c r="AZ591" s="323"/>
      <c r="BA591" s="323"/>
      <c r="BB591" s="323"/>
      <c r="BC591" s="323"/>
      <c r="BD591" s="323"/>
      <c r="BE591" s="323"/>
      <c r="BF591" s="323"/>
      <c r="BG591" s="323"/>
      <c r="BH591" s="323"/>
      <c r="BI591" s="323"/>
      <c r="BJ591" s="323"/>
      <c r="BK591" s="323"/>
      <c r="BL591" s="323"/>
      <c r="BM591" s="323"/>
      <c r="BN591" s="323"/>
      <c r="BO591" s="323"/>
      <c r="BP591" s="323"/>
      <c r="BQ591" s="323"/>
      <c r="BR591" s="323"/>
      <c r="BS591" s="323"/>
      <c r="BT591" s="323"/>
      <c r="BU591" s="323"/>
      <c r="BV591" s="323"/>
      <c r="BW591" s="323"/>
      <c r="BX591" s="323"/>
      <c r="BY591" s="323"/>
      <c r="BZ591" s="323"/>
      <c r="CA591" s="323"/>
      <c r="CB591" s="323"/>
      <c r="CC591" s="323"/>
    </row>
    <row r="592" spans="19:81" x14ac:dyDescent="0.35">
      <c r="W592" s="305"/>
      <c r="X592" s="323"/>
      <c r="Y592" s="323"/>
      <c r="Z592" s="323"/>
      <c r="AA592" s="323"/>
      <c r="AB592" s="323"/>
      <c r="AC592" s="323"/>
      <c r="AD592" s="323"/>
      <c r="AE592" s="323"/>
      <c r="AF592" s="323"/>
      <c r="AG592" s="323"/>
      <c r="AH592" s="323"/>
      <c r="AI592" s="323"/>
      <c r="AJ592" s="323"/>
      <c r="AK592" s="323"/>
      <c r="AL592" s="323"/>
      <c r="AM592" s="323"/>
      <c r="AN592" s="457"/>
      <c r="AO592" s="457"/>
      <c r="AP592" s="457"/>
      <c r="AQ592" s="457"/>
      <c r="AR592" s="457"/>
      <c r="AS592" s="457"/>
      <c r="AT592" s="457"/>
      <c r="AU592" s="457"/>
      <c r="AV592" s="323"/>
      <c r="AW592" s="323"/>
      <c r="AX592" s="323"/>
      <c r="AY592" s="323"/>
      <c r="AZ592" s="323"/>
      <c r="BA592" s="323"/>
      <c r="BB592" s="323"/>
      <c r="BC592" s="323"/>
      <c r="BD592" s="323"/>
      <c r="BE592" s="323"/>
      <c r="BF592" s="323"/>
      <c r="BG592" s="323"/>
      <c r="BH592" s="323"/>
      <c r="BI592" s="323"/>
      <c r="BJ592" s="323"/>
      <c r="BK592" s="323"/>
      <c r="BL592" s="323"/>
      <c r="BM592" s="323"/>
      <c r="BN592" s="323"/>
      <c r="BO592" s="323"/>
      <c r="BP592" s="323"/>
      <c r="BQ592" s="323"/>
      <c r="BR592" s="323"/>
      <c r="BS592" s="323"/>
      <c r="BT592" s="323"/>
      <c r="BU592" s="323"/>
      <c r="BV592" s="323"/>
      <c r="BW592" s="323"/>
      <c r="BX592" s="323"/>
      <c r="BY592" s="323"/>
      <c r="BZ592" s="323"/>
      <c r="CA592" s="323"/>
      <c r="CB592" s="323"/>
      <c r="CC592" s="323"/>
    </row>
    <row r="593" spans="23:81" x14ac:dyDescent="0.35">
      <c r="W593" s="305"/>
      <c r="X593" s="323"/>
      <c r="Y593" s="323"/>
      <c r="Z593" s="323"/>
      <c r="AA593" s="323"/>
      <c r="AB593" s="323"/>
      <c r="AC593" s="323"/>
      <c r="AD593" s="323"/>
      <c r="AE593" s="323"/>
      <c r="AF593" s="323"/>
      <c r="AG593" s="323"/>
      <c r="AH593" s="323"/>
      <c r="AI593" s="323"/>
      <c r="AJ593" s="323"/>
      <c r="AK593" s="323"/>
      <c r="AL593" s="323"/>
      <c r="AM593" s="323"/>
      <c r="AN593" s="457"/>
      <c r="AO593" s="457"/>
      <c r="AP593" s="457"/>
      <c r="AQ593" s="457"/>
      <c r="AR593" s="457"/>
      <c r="AS593" s="457"/>
      <c r="AT593" s="457"/>
      <c r="AU593" s="457"/>
      <c r="AV593" s="323"/>
      <c r="AW593" s="323"/>
      <c r="AX593" s="323"/>
      <c r="AY593" s="323"/>
      <c r="AZ593" s="323"/>
      <c r="BA593" s="323"/>
      <c r="BB593" s="323"/>
      <c r="BC593" s="323"/>
      <c r="BD593" s="323"/>
      <c r="BE593" s="323"/>
      <c r="BF593" s="323"/>
      <c r="BG593" s="323"/>
      <c r="BH593" s="323"/>
      <c r="BI593" s="323"/>
      <c r="BJ593" s="323"/>
      <c r="BK593" s="323"/>
      <c r="BL593" s="323"/>
      <c r="BM593" s="323"/>
      <c r="BN593" s="323"/>
      <c r="BO593" s="323"/>
      <c r="BP593" s="323"/>
      <c r="BQ593" s="323"/>
      <c r="BR593" s="323"/>
      <c r="BS593" s="323"/>
      <c r="BT593" s="323"/>
      <c r="BU593" s="323"/>
      <c r="BV593" s="323"/>
      <c r="BW593" s="323"/>
      <c r="BX593" s="323"/>
      <c r="BY593" s="323"/>
      <c r="BZ593" s="323"/>
      <c r="CA593" s="323"/>
      <c r="CB593" s="323"/>
      <c r="CC593" s="323"/>
    </row>
    <row r="594" spans="23:81" x14ac:dyDescent="0.35">
      <c r="W594" s="305"/>
      <c r="X594" s="323"/>
      <c r="Y594" s="323"/>
      <c r="Z594" s="323"/>
      <c r="AA594" s="323"/>
      <c r="AB594" s="323"/>
      <c r="AC594" s="323"/>
      <c r="AD594" s="323"/>
      <c r="AE594" s="323"/>
      <c r="AF594" s="323"/>
      <c r="AG594" s="323"/>
      <c r="AH594" s="323"/>
      <c r="AI594" s="323"/>
      <c r="AJ594" s="323"/>
      <c r="AK594" s="323"/>
      <c r="AL594" s="323"/>
      <c r="AM594" s="323"/>
      <c r="AN594" s="457"/>
      <c r="AO594" s="457"/>
      <c r="AP594" s="457"/>
      <c r="AQ594" s="457"/>
      <c r="AR594" s="457"/>
      <c r="AS594" s="457"/>
      <c r="AT594" s="457"/>
      <c r="AU594" s="457"/>
      <c r="AV594" s="323"/>
      <c r="AW594" s="323"/>
      <c r="AX594" s="323"/>
      <c r="AY594" s="323"/>
      <c r="AZ594" s="323"/>
      <c r="BA594" s="323"/>
      <c r="BB594" s="323"/>
      <c r="BC594" s="323"/>
      <c r="BD594" s="323"/>
      <c r="BE594" s="323"/>
      <c r="BF594" s="323"/>
      <c r="BG594" s="323"/>
      <c r="BH594" s="323"/>
      <c r="BI594" s="323"/>
      <c r="BJ594" s="323"/>
      <c r="BK594" s="323"/>
      <c r="BL594" s="323"/>
      <c r="BM594" s="323"/>
      <c r="BN594" s="323"/>
      <c r="BO594" s="323"/>
      <c r="BP594" s="323"/>
      <c r="BQ594" s="323"/>
      <c r="BR594" s="323"/>
      <c r="BS594" s="323"/>
      <c r="BT594" s="323"/>
      <c r="BU594" s="323"/>
      <c r="BV594" s="323"/>
      <c r="BW594" s="323"/>
      <c r="BX594" s="323"/>
      <c r="BY594" s="323"/>
      <c r="BZ594" s="323"/>
      <c r="CA594" s="323"/>
      <c r="CB594" s="323"/>
      <c r="CC594" s="323"/>
    </row>
    <row r="595" spans="23:81" x14ac:dyDescent="0.35">
      <c r="W595" s="305"/>
      <c r="X595" s="323"/>
      <c r="Y595" s="323"/>
      <c r="Z595" s="323"/>
      <c r="AA595" s="323"/>
      <c r="AB595" s="323"/>
      <c r="AC595" s="323"/>
      <c r="AD595" s="323"/>
      <c r="AE595" s="323"/>
      <c r="AF595" s="323"/>
      <c r="AG595" s="323"/>
      <c r="AH595" s="323"/>
      <c r="AI595" s="323"/>
      <c r="AJ595" s="323"/>
      <c r="AK595" s="323"/>
      <c r="AL595" s="323"/>
      <c r="AM595" s="323"/>
      <c r="AN595" s="457"/>
      <c r="AO595" s="457"/>
      <c r="AP595" s="457"/>
      <c r="AQ595" s="457"/>
      <c r="AR595" s="457"/>
      <c r="AS595" s="457"/>
      <c r="AT595" s="457"/>
      <c r="AU595" s="457"/>
      <c r="AV595" s="323"/>
      <c r="AW595" s="323"/>
      <c r="AX595" s="323"/>
      <c r="AY595" s="323"/>
      <c r="AZ595" s="323"/>
      <c r="BA595" s="323"/>
      <c r="BB595" s="323"/>
      <c r="BC595" s="323"/>
      <c r="BD595" s="323"/>
      <c r="BE595" s="323"/>
      <c r="BF595" s="323"/>
      <c r="BG595" s="323"/>
      <c r="BH595" s="323"/>
      <c r="BI595" s="323"/>
      <c r="BJ595" s="323"/>
      <c r="BK595" s="323"/>
      <c r="BL595" s="323"/>
      <c r="BM595" s="323"/>
      <c r="BN595" s="323"/>
      <c r="BO595" s="323"/>
      <c r="BP595" s="323"/>
      <c r="BQ595" s="323"/>
      <c r="BR595" s="323"/>
      <c r="BS595" s="323"/>
      <c r="BT595" s="323"/>
      <c r="BU595" s="323"/>
      <c r="BV595" s="323"/>
      <c r="BW595" s="323"/>
      <c r="BX595" s="323"/>
      <c r="BY595" s="323"/>
      <c r="BZ595" s="323"/>
      <c r="CA595" s="323"/>
      <c r="CB595" s="323"/>
      <c r="CC595" s="323"/>
    </row>
    <row r="596" spans="23:81" x14ac:dyDescent="0.35">
      <c r="W596" s="305"/>
      <c r="X596" s="323"/>
      <c r="Y596" s="323"/>
      <c r="Z596" s="323"/>
      <c r="AA596" s="323"/>
      <c r="AB596" s="323"/>
      <c r="AC596" s="323"/>
      <c r="AD596" s="323"/>
      <c r="AE596" s="323"/>
      <c r="AF596" s="323"/>
      <c r="AG596" s="323"/>
      <c r="AH596" s="323"/>
      <c r="AI596" s="323"/>
      <c r="AJ596" s="323"/>
      <c r="AK596" s="323"/>
      <c r="AL596" s="323"/>
      <c r="AM596" s="323"/>
      <c r="AN596" s="457"/>
      <c r="AO596" s="457"/>
      <c r="AP596" s="457"/>
      <c r="AQ596" s="457"/>
      <c r="AR596" s="457"/>
      <c r="AS596" s="457"/>
      <c r="AT596" s="457"/>
      <c r="AU596" s="457"/>
      <c r="AV596" s="323"/>
      <c r="AW596" s="323"/>
      <c r="AX596" s="323"/>
      <c r="AY596" s="323"/>
      <c r="AZ596" s="323"/>
      <c r="BA596" s="323"/>
      <c r="BB596" s="323"/>
      <c r="BC596" s="323"/>
      <c r="BD596" s="323"/>
      <c r="BE596" s="323"/>
      <c r="BF596" s="323"/>
      <c r="BG596" s="323"/>
      <c r="BH596" s="323"/>
      <c r="BI596" s="323"/>
      <c r="BJ596" s="323"/>
      <c r="BK596" s="323"/>
      <c r="BL596" s="323"/>
      <c r="BM596" s="323"/>
      <c r="BN596" s="323"/>
      <c r="BO596" s="323"/>
      <c r="BP596" s="323"/>
      <c r="BQ596" s="323"/>
      <c r="BR596" s="323"/>
      <c r="BS596" s="323"/>
      <c r="BT596" s="323"/>
      <c r="BU596" s="323"/>
      <c r="BV596" s="323"/>
      <c r="BW596" s="323"/>
      <c r="BX596" s="323"/>
      <c r="BY596" s="323"/>
      <c r="BZ596" s="323"/>
      <c r="CA596" s="323"/>
      <c r="CB596" s="323"/>
      <c r="CC596" s="323"/>
    </row>
    <row r="597" spans="23:81" x14ac:dyDescent="0.35">
      <c r="W597" s="305"/>
      <c r="X597" s="323"/>
      <c r="Y597" s="323"/>
      <c r="Z597" s="323"/>
      <c r="AA597" s="323"/>
      <c r="AB597" s="323"/>
      <c r="AC597" s="323"/>
      <c r="AD597" s="323"/>
      <c r="AE597" s="323"/>
      <c r="AF597" s="323"/>
      <c r="AG597" s="323"/>
      <c r="AH597" s="323"/>
      <c r="AI597" s="323"/>
      <c r="AJ597" s="323"/>
      <c r="AK597" s="323"/>
      <c r="AL597" s="323"/>
      <c r="AM597" s="323"/>
      <c r="AN597" s="457"/>
      <c r="AO597" s="457"/>
      <c r="AP597" s="457"/>
      <c r="AQ597" s="457"/>
      <c r="AR597" s="457"/>
      <c r="AS597" s="457"/>
      <c r="AT597" s="457"/>
      <c r="AU597" s="457"/>
      <c r="AV597" s="323"/>
      <c r="AW597" s="323"/>
      <c r="AX597" s="323"/>
      <c r="AY597" s="323"/>
      <c r="AZ597" s="323"/>
      <c r="BA597" s="323"/>
      <c r="BB597" s="323"/>
      <c r="BC597" s="323"/>
      <c r="BD597" s="323"/>
      <c r="BE597" s="323"/>
      <c r="BF597" s="323"/>
      <c r="BG597" s="323"/>
      <c r="BH597" s="323"/>
      <c r="BI597" s="323"/>
      <c r="BJ597" s="323"/>
      <c r="BK597" s="323"/>
      <c r="BL597" s="323"/>
      <c r="BM597" s="323"/>
      <c r="BN597" s="323"/>
      <c r="BO597" s="323"/>
      <c r="BP597" s="323"/>
      <c r="BQ597" s="323"/>
      <c r="BR597" s="323"/>
      <c r="BS597" s="323"/>
      <c r="BT597" s="323"/>
      <c r="BU597" s="323"/>
      <c r="BV597" s="323"/>
      <c r="BW597" s="323"/>
      <c r="BX597" s="323"/>
      <c r="BY597" s="323"/>
      <c r="BZ597" s="323"/>
      <c r="CA597" s="323"/>
      <c r="CB597" s="323"/>
      <c r="CC597" s="323"/>
    </row>
    <row r="598" spans="23:81" x14ac:dyDescent="0.35">
      <c r="W598" s="305"/>
      <c r="X598" s="323"/>
      <c r="Y598" s="323"/>
      <c r="Z598" s="323"/>
      <c r="AA598" s="323"/>
      <c r="AB598" s="323"/>
      <c r="AC598" s="323"/>
      <c r="AD598" s="323"/>
      <c r="AE598" s="323"/>
      <c r="AF598" s="323"/>
      <c r="AG598" s="323"/>
      <c r="AH598" s="323"/>
      <c r="AI598" s="323"/>
      <c r="AJ598" s="323"/>
      <c r="AK598" s="323"/>
      <c r="AL598" s="323"/>
      <c r="AM598" s="323"/>
      <c r="AN598" s="457"/>
      <c r="AO598" s="457"/>
      <c r="AP598" s="457"/>
      <c r="AQ598" s="457"/>
      <c r="AR598" s="457"/>
      <c r="AS598" s="457"/>
      <c r="AT598" s="457"/>
      <c r="AU598" s="457"/>
      <c r="AV598" s="323"/>
      <c r="AW598" s="323"/>
      <c r="AX598" s="323"/>
      <c r="AY598" s="323"/>
      <c r="AZ598" s="323"/>
      <c r="BA598" s="323"/>
      <c r="BB598" s="323"/>
      <c r="BC598" s="323"/>
      <c r="BD598" s="323"/>
      <c r="BE598" s="323"/>
      <c r="BF598" s="323"/>
      <c r="BG598" s="323"/>
      <c r="BH598" s="323"/>
      <c r="BI598" s="323"/>
      <c r="BJ598" s="323"/>
      <c r="BK598" s="323"/>
      <c r="BL598" s="323"/>
      <c r="BM598" s="323"/>
      <c r="BN598" s="323"/>
      <c r="BO598" s="323"/>
      <c r="BP598" s="323"/>
      <c r="BQ598" s="323"/>
      <c r="BR598" s="323"/>
      <c r="BS598" s="323"/>
      <c r="BT598" s="323"/>
      <c r="BU598" s="323"/>
      <c r="BV598" s="323"/>
      <c r="BW598" s="323"/>
      <c r="BX598" s="323"/>
      <c r="BY598" s="323"/>
      <c r="BZ598" s="323"/>
      <c r="CA598" s="323"/>
      <c r="CB598" s="323"/>
      <c r="CC598" s="323"/>
    </row>
    <row r="599" spans="23:81" x14ac:dyDescent="0.35">
      <c r="W599" s="305"/>
      <c r="X599" s="323"/>
      <c r="Y599" s="323"/>
      <c r="Z599" s="323"/>
      <c r="AA599" s="323"/>
      <c r="AB599" s="323"/>
      <c r="AC599" s="323"/>
      <c r="AD599" s="323"/>
      <c r="AE599" s="323"/>
      <c r="AF599" s="323"/>
      <c r="AG599" s="323"/>
      <c r="AH599" s="323"/>
      <c r="AI599" s="323"/>
      <c r="AJ599" s="323"/>
      <c r="AK599" s="323"/>
      <c r="AL599" s="323"/>
      <c r="AM599" s="323"/>
      <c r="AN599" s="457"/>
      <c r="AO599" s="457"/>
      <c r="AP599" s="457"/>
      <c r="AQ599" s="457"/>
      <c r="AR599" s="457"/>
      <c r="AS599" s="457"/>
      <c r="AT599" s="457"/>
      <c r="AU599" s="457"/>
      <c r="AV599" s="323"/>
      <c r="AW599" s="323"/>
      <c r="AX599" s="323"/>
      <c r="AY599" s="323"/>
      <c r="AZ599" s="323"/>
      <c r="BA599" s="323"/>
      <c r="BB599" s="323"/>
      <c r="BC599" s="323"/>
      <c r="BD599" s="323"/>
      <c r="BE599" s="323"/>
      <c r="BF599" s="323"/>
      <c r="BG599" s="323"/>
      <c r="BH599" s="323"/>
      <c r="BI599" s="323"/>
      <c r="BJ599" s="323"/>
      <c r="BK599" s="323"/>
      <c r="BL599" s="323"/>
      <c r="BM599" s="323"/>
      <c r="BN599" s="323"/>
      <c r="BO599" s="323"/>
      <c r="BP599" s="323"/>
      <c r="BQ599" s="323"/>
      <c r="BR599" s="323"/>
      <c r="BS599" s="323"/>
      <c r="BT599" s="323"/>
      <c r="BU599" s="323"/>
      <c r="BV599" s="323"/>
      <c r="BW599" s="323"/>
      <c r="BX599" s="323"/>
      <c r="BY599" s="323"/>
      <c r="BZ599" s="323"/>
      <c r="CA599" s="323"/>
      <c r="CB599" s="323"/>
      <c r="CC599" s="323"/>
    </row>
    <row r="600" spans="23:81" x14ac:dyDescent="0.35">
      <c r="W600" s="305"/>
      <c r="X600" s="323"/>
      <c r="Y600" s="323"/>
      <c r="Z600" s="323"/>
      <c r="AA600" s="323"/>
      <c r="AB600" s="323"/>
      <c r="AC600" s="323"/>
      <c r="AD600" s="323"/>
      <c r="AE600" s="323"/>
      <c r="AF600" s="323"/>
      <c r="AG600" s="323"/>
      <c r="AH600" s="323"/>
      <c r="AI600" s="323"/>
      <c r="AJ600" s="323"/>
      <c r="AK600" s="323"/>
      <c r="AL600" s="323"/>
      <c r="AM600" s="323"/>
      <c r="AN600" s="457"/>
      <c r="AO600" s="457"/>
      <c r="AP600" s="457"/>
      <c r="AQ600" s="457"/>
      <c r="AR600" s="457"/>
      <c r="AS600" s="457"/>
      <c r="AT600" s="457"/>
      <c r="AU600" s="457"/>
      <c r="AV600" s="323"/>
      <c r="AW600" s="323"/>
      <c r="AX600" s="323"/>
      <c r="AY600" s="323"/>
      <c r="AZ600" s="323"/>
      <c r="BA600" s="323"/>
      <c r="BB600" s="323"/>
      <c r="BC600" s="323"/>
      <c r="BD600" s="323"/>
      <c r="BE600" s="323"/>
      <c r="BF600" s="323"/>
      <c r="BG600" s="323"/>
      <c r="BH600" s="323"/>
      <c r="BI600" s="323"/>
      <c r="BJ600" s="323"/>
      <c r="BK600" s="323"/>
      <c r="BL600" s="323"/>
      <c r="BM600" s="323"/>
      <c r="BN600" s="323"/>
      <c r="BO600" s="323"/>
      <c r="BP600" s="323"/>
      <c r="BQ600" s="323"/>
      <c r="BR600" s="323"/>
      <c r="BS600" s="323"/>
      <c r="BT600" s="323"/>
      <c r="BU600" s="323"/>
      <c r="BV600" s="323"/>
      <c r="BW600" s="323"/>
      <c r="BX600" s="323"/>
      <c r="BY600" s="323"/>
      <c r="BZ600" s="323"/>
      <c r="CA600" s="323"/>
      <c r="CB600" s="323"/>
      <c r="CC600" s="323"/>
    </row>
    <row r="601" spans="23:81" x14ac:dyDescent="0.35">
      <c r="W601" s="305"/>
      <c r="X601" s="323"/>
      <c r="Y601" s="323"/>
      <c r="Z601" s="323"/>
      <c r="AA601" s="323"/>
      <c r="AB601" s="323"/>
      <c r="AC601" s="323"/>
      <c r="AD601" s="323"/>
      <c r="AE601" s="323"/>
      <c r="AF601" s="323"/>
      <c r="AG601" s="323"/>
      <c r="AH601" s="323"/>
      <c r="AI601" s="323"/>
      <c r="AJ601" s="323"/>
      <c r="AK601" s="323"/>
      <c r="AL601" s="323"/>
      <c r="AM601" s="323"/>
      <c r="AN601" s="457"/>
      <c r="AO601" s="457"/>
      <c r="AP601" s="457"/>
      <c r="AQ601" s="457"/>
      <c r="AR601" s="457"/>
      <c r="AS601" s="457"/>
      <c r="AT601" s="457"/>
      <c r="AU601" s="457"/>
      <c r="AV601" s="323"/>
      <c r="AW601" s="323"/>
      <c r="AX601" s="323"/>
      <c r="AY601" s="323"/>
      <c r="AZ601" s="323"/>
      <c r="BA601" s="323"/>
      <c r="BB601" s="323"/>
      <c r="BC601" s="323"/>
      <c r="BD601" s="323"/>
      <c r="BE601" s="323"/>
      <c r="BF601" s="323"/>
      <c r="BG601" s="323"/>
      <c r="BH601" s="323"/>
      <c r="BI601" s="323"/>
      <c r="BJ601" s="323"/>
      <c r="BK601" s="323"/>
      <c r="BL601" s="323"/>
      <c r="BM601" s="323"/>
      <c r="BN601" s="323"/>
      <c r="BO601" s="323"/>
      <c r="BP601" s="323"/>
      <c r="BQ601" s="323"/>
      <c r="BR601" s="323"/>
      <c r="BS601" s="323"/>
      <c r="BT601" s="323"/>
      <c r="BU601" s="323"/>
      <c r="BV601" s="323"/>
      <c r="BW601" s="323"/>
      <c r="BX601" s="323"/>
      <c r="BY601" s="323"/>
      <c r="BZ601" s="323"/>
      <c r="CA601" s="323"/>
      <c r="CB601" s="323"/>
      <c r="CC601" s="323"/>
    </row>
    <row r="602" spans="23:81" x14ac:dyDescent="0.35">
      <c r="W602" s="305"/>
      <c r="X602" s="323"/>
      <c r="Y602" s="323"/>
      <c r="Z602" s="323"/>
      <c r="AA602" s="323"/>
      <c r="AB602" s="323"/>
      <c r="AC602" s="323"/>
      <c r="AD602" s="323"/>
      <c r="AE602" s="323"/>
      <c r="AF602" s="323"/>
      <c r="AG602" s="323"/>
      <c r="AH602" s="323"/>
      <c r="AI602" s="323"/>
      <c r="AJ602" s="323"/>
      <c r="AK602" s="323"/>
      <c r="AL602" s="323"/>
      <c r="AM602" s="323"/>
      <c r="AN602" s="457"/>
      <c r="AO602" s="457"/>
      <c r="AP602" s="457"/>
      <c r="AQ602" s="457"/>
      <c r="AR602" s="457"/>
      <c r="AS602" s="457"/>
      <c r="AT602" s="457"/>
      <c r="AU602" s="457"/>
      <c r="AV602" s="323"/>
      <c r="AW602" s="323"/>
      <c r="AX602" s="323"/>
      <c r="AY602" s="323"/>
      <c r="AZ602" s="323"/>
      <c r="BA602" s="323"/>
      <c r="BB602" s="323"/>
      <c r="BC602" s="323"/>
      <c r="BD602" s="323"/>
      <c r="BE602" s="323"/>
      <c r="BF602" s="323"/>
      <c r="BG602" s="323"/>
      <c r="BH602" s="323"/>
      <c r="BI602" s="323"/>
      <c r="BJ602" s="323"/>
      <c r="BK602" s="323"/>
      <c r="BL602" s="323"/>
      <c r="BM602" s="323"/>
      <c r="BN602" s="323"/>
      <c r="BO602" s="323"/>
      <c r="BP602" s="323"/>
      <c r="BQ602" s="323"/>
      <c r="BR602" s="323"/>
      <c r="BS602" s="323"/>
      <c r="BT602" s="323"/>
      <c r="BU602" s="323"/>
      <c r="BV602" s="323"/>
      <c r="BW602" s="323"/>
      <c r="BX602" s="323"/>
      <c r="BY602" s="323"/>
      <c r="BZ602" s="323"/>
      <c r="CA602" s="323"/>
      <c r="CB602" s="323"/>
      <c r="CC602" s="323"/>
    </row>
    <row r="603" spans="23:81" x14ac:dyDescent="0.35">
      <c r="W603" s="305"/>
      <c r="X603" s="323"/>
      <c r="Y603" s="323"/>
      <c r="Z603" s="323"/>
      <c r="AA603" s="323"/>
      <c r="AB603" s="323"/>
      <c r="AC603" s="323"/>
      <c r="AD603" s="323"/>
      <c r="AE603" s="323"/>
      <c r="AF603" s="323"/>
      <c r="AG603" s="323"/>
      <c r="AH603" s="323"/>
      <c r="AI603" s="323"/>
      <c r="AJ603" s="323"/>
      <c r="AK603" s="323"/>
      <c r="AL603" s="323"/>
      <c r="AM603" s="323"/>
      <c r="AN603" s="457"/>
      <c r="AO603" s="457"/>
      <c r="AP603" s="457"/>
      <c r="AQ603" s="457"/>
      <c r="AR603" s="457"/>
      <c r="AS603" s="457"/>
      <c r="AT603" s="457"/>
      <c r="AU603" s="457"/>
      <c r="AV603" s="323"/>
      <c r="AW603" s="323"/>
      <c r="AX603" s="323"/>
      <c r="AY603" s="323"/>
      <c r="AZ603" s="323"/>
      <c r="BA603" s="323"/>
      <c r="BB603" s="323"/>
      <c r="BC603" s="323"/>
      <c r="BD603" s="323"/>
      <c r="BE603" s="323"/>
      <c r="BF603" s="323"/>
      <c r="BG603" s="323"/>
      <c r="BH603" s="323"/>
      <c r="BI603" s="323"/>
      <c r="BJ603" s="323"/>
      <c r="BK603" s="323"/>
      <c r="BL603" s="323"/>
      <c r="BM603" s="323"/>
      <c r="BN603" s="323"/>
      <c r="BO603" s="323"/>
      <c r="BP603" s="323"/>
      <c r="BQ603" s="323"/>
      <c r="BR603" s="323"/>
      <c r="BS603" s="323"/>
      <c r="BT603" s="323"/>
      <c r="BU603" s="323"/>
      <c r="BV603" s="323"/>
      <c r="BW603" s="323"/>
      <c r="BX603" s="323"/>
      <c r="BY603" s="323"/>
      <c r="BZ603" s="323"/>
      <c r="CA603" s="323"/>
      <c r="CB603" s="323"/>
      <c r="CC603" s="323"/>
    </row>
    <row r="604" spans="23:81" x14ac:dyDescent="0.35">
      <c r="W604" s="305"/>
      <c r="X604" s="323"/>
      <c r="Y604" s="323"/>
      <c r="Z604" s="323"/>
      <c r="AA604" s="323"/>
      <c r="AB604" s="323"/>
      <c r="AC604" s="323"/>
      <c r="AD604" s="323"/>
      <c r="AE604" s="323"/>
      <c r="AF604" s="323"/>
      <c r="AG604" s="323"/>
      <c r="AH604" s="323"/>
      <c r="AI604" s="323"/>
      <c r="AJ604" s="323"/>
      <c r="AK604" s="323"/>
      <c r="AL604" s="323"/>
      <c r="AM604" s="323"/>
      <c r="AN604" s="457"/>
      <c r="AO604" s="457"/>
      <c r="AP604" s="457"/>
      <c r="AQ604" s="457"/>
      <c r="AR604" s="457"/>
      <c r="AS604" s="457"/>
      <c r="AT604" s="457"/>
      <c r="AU604" s="457"/>
      <c r="AV604" s="323"/>
      <c r="AW604" s="323"/>
      <c r="AX604" s="323"/>
      <c r="AY604" s="323"/>
      <c r="AZ604" s="323"/>
      <c r="BA604" s="323"/>
      <c r="BB604" s="323"/>
      <c r="BC604" s="323"/>
      <c r="BD604" s="323"/>
      <c r="BE604" s="323"/>
      <c r="BF604" s="323"/>
      <c r="BG604" s="323"/>
      <c r="BH604" s="323"/>
      <c r="BI604" s="323"/>
      <c r="BJ604" s="323"/>
      <c r="BK604" s="323"/>
      <c r="BL604" s="323"/>
      <c r="BM604" s="323"/>
      <c r="BN604" s="323"/>
      <c r="BO604" s="323"/>
      <c r="BP604" s="323"/>
      <c r="BQ604" s="323"/>
      <c r="BR604" s="323"/>
      <c r="BS604" s="323"/>
      <c r="BT604" s="323"/>
      <c r="BU604" s="323"/>
      <c r="BV604" s="323"/>
      <c r="BW604" s="323"/>
      <c r="BX604" s="323"/>
      <c r="BY604" s="323"/>
      <c r="BZ604" s="323"/>
      <c r="CA604" s="323"/>
      <c r="CB604" s="323"/>
      <c r="CC604" s="323"/>
    </row>
    <row r="605" spans="23:81" x14ac:dyDescent="0.35">
      <c r="W605" s="305"/>
      <c r="X605" s="323"/>
      <c r="Y605" s="323"/>
      <c r="Z605" s="323"/>
      <c r="AA605" s="323"/>
      <c r="AB605" s="323"/>
      <c r="AC605" s="323"/>
      <c r="AD605" s="323"/>
      <c r="AE605" s="323"/>
      <c r="AF605" s="323"/>
      <c r="AG605" s="323"/>
      <c r="AH605" s="323"/>
      <c r="AI605" s="323"/>
      <c r="AJ605" s="323"/>
      <c r="AK605" s="323"/>
      <c r="AL605" s="323"/>
      <c r="AM605" s="323"/>
      <c r="AN605" s="457"/>
      <c r="AO605" s="457"/>
      <c r="AP605" s="457"/>
      <c r="AQ605" s="457"/>
      <c r="AR605" s="457"/>
      <c r="AS605" s="457"/>
      <c r="AT605" s="457"/>
      <c r="AU605" s="457"/>
      <c r="AV605" s="323"/>
      <c r="AW605" s="323"/>
      <c r="AX605" s="323"/>
      <c r="AY605" s="323"/>
      <c r="AZ605" s="323"/>
      <c r="BA605" s="323"/>
      <c r="BB605" s="323"/>
      <c r="BC605" s="323"/>
      <c r="BD605" s="323"/>
      <c r="BE605" s="323"/>
      <c r="BF605" s="323"/>
      <c r="BG605" s="323"/>
      <c r="BH605" s="323"/>
      <c r="BI605" s="323"/>
      <c r="BJ605" s="323"/>
      <c r="BK605" s="323"/>
      <c r="BL605" s="323"/>
      <c r="BM605" s="323"/>
      <c r="BN605" s="323"/>
      <c r="BO605" s="323"/>
      <c r="BP605" s="323"/>
      <c r="BQ605" s="323"/>
      <c r="BR605" s="323"/>
      <c r="BS605" s="323"/>
      <c r="BT605" s="323"/>
      <c r="BU605" s="323"/>
      <c r="BV605" s="323"/>
      <c r="BW605" s="323"/>
      <c r="BX605" s="323"/>
      <c r="BY605" s="323"/>
      <c r="BZ605" s="323"/>
      <c r="CA605" s="323"/>
      <c r="CB605" s="323"/>
      <c r="CC605" s="323"/>
    </row>
    <row r="606" spans="23:81" x14ac:dyDescent="0.35">
      <c r="W606" s="305"/>
      <c r="X606" s="323"/>
      <c r="Y606" s="323"/>
      <c r="Z606" s="323"/>
      <c r="AA606" s="323"/>
      <c r="AB606" s="323"/>
      <c r="AC606" s="323"/>
      <c r="AD606" s="323"/>
      <c r="AE606" s="323"/>
      <c r="AF606" s="323"/>
      <c r="AG606" s="323"/>
      <c r="AH606" s="323"/>
      <c r="AI606" s="323"/>
      <c r="AJ606" s="323"/>
      <c r="AK606" s="323"/>
      <c r="AL606" s="323"/>
      <c r="AM606" s="323"/>
      <c r="AN606" s="457"/>
      <c r="AO606" s="457"/>
      <c r="AP606" s="457"/>
      <c r="AQ606" s="457"/>
      <c r="AR606" s="457"/>
      <c r="AS606" s="457"/>
      <c r="AT606" s="457"/>
      <c r="AU606" s="457"/>
      <c r="AV606" s="323"/>
      <c r="AW606" s="323"/>
      <c r="AX606" s="323"/>
      <c r="AY606" s="323"/>
      <c r="AZ606" s="323"/>
      <c r="BA606" s="323"/>
      <c r="BB606" s="323"/>
      <c r="BC606" s="323"/>
      <c r="BD606" s="323"/>
      <c r="BE606" s="323"/>
      <c r="BF606" s="323"/>
      <c r="BG606" s="323"/>
      <c r="BH606" s="323"/>
      <c r="BI606" s="323"/>
      <c r="BJ606" s="323"/>
      <c r="BK606" s="323"/>
      <c r="BL606" s="323"/>
      <c r="BM606" s="323"/>
      <c r="BN606" s="323"/>
      <c r="BO606" s="323"/>
      <c r="BP606" s="323"/>
      <c r="BQ606" s="323"/>
      <c r="BR606" s="323"/>
      <c r="BS606" s="323"/>
      <c r="BT606" s="323"/>
      <c r="BU606" s="323"/>
      <c r="BV606" s="323"/>
      <c r="BW606" s="323"/>
      <c r="BX606" s="323"/>
      <c r="BY606" s="323"/>
      <c r="BZ606" s="323"/>
      <c r="CA606" s="323"/>
      <c r="CB606" s="323"/>
      <c r="CC606" s="323"/>
    </row>
    <row r="607" spans="23:81" x14ac:dyDescent="0.35">
      <c r="W607" s="305"/>
      <c r="X607" s="323"/>
      <c r="Y607" s="323"/>
      <c r="Z607" s="323"/>
      <c r="AA607" s="323"/>
      <c r="AB607" s="323"/>
      <c r="AC607" s="323"/>
      <c r="AD607" s="323"/>
      <c r="AE607" s="323"/>
      <c r="AF607" s="323"/>
      <c r="AG607" s="323"/>
      <c r="AH607" s="323"/>
      <c r="AI607" s="323"/>
      <c r="AJ607" s="323"/>
      <c r="AK607" s="323"/>
      <c r="AL607" s="323"/>
      <c r="AM607" s="323"/>
      <c r="AN607" s="457"/>
      <c r="AO607" s="457"/>
      <c r="AP607" s="457"/>
      <c r="AQ607" s="457"/>
      <c r="AR607" s="457"/>
      <c r="AS607" s="457"/>
      <c r="AT607" s="457"/>
      <c r="AU607" s="457"/>
      <c r="AV607" s="323"/>
      <c r="AW607" s="323"/>
      <c r="AX607" s="323"/>
      <c r="AY607" s="323"/>
      <c r="AZ607" s="323"/>
      <c r="BA607" s="323"/>
      <c r="BB607" s="323"/>
      <c r="BC607" s="323"/>
      <c r="BD607" s="323"/>
      <c r="BE607" s="323"/>
      <c r="BF607" s="323"/>
      <c r="BG607" s="323"/>
      <c r="BH607" s="323"/>
      <c r="BI607" s="323"/>
      <c r="BJ607" s="323"/>
      <c r="BK607" s="323"/>
      <c r="BL607" s="323"/>
      <c r="BM607" s="323"/>
      <c r="BN607" s="323"/>
      <c r="BO607" s="323"/>
      <c r="BP607" s="323"/>
      <c r="BQ607" s="323"/>
      <c r="BR607" s="323"/>
      <c r="BS607" s="323"/>
      <c r="BT607" s="323"/>
      <c r="BU607" s="323"/>
      <c r="BV607" s="323"/>
      <c r="BW607" s="323"/>
      <c r="BX607" s="323"/>
      <c r="BY607" s="323"/>
      <c r="BZ607" s="323"/>
      <c r="CA607" s="323"/>
      <c r="CB607" s="323"/>
      <c r="CC607" s="323"/>
    </row>
    <row r="608" spans="23:81" x14ac:dyDescent="0.35">
      <c r="W608" s="305"/>
      <c r="X608" s="323"/>
      <c r="Y608" s="323"/>
      <c r="Z608" s="323"/>
      <c r="AA608" s="323"/>
      <c r="AB608" s="323"/>
      <c r="AC608" s="323"/>
      <c r="AD608" s="323"/>
      <c r="AE608" s="323"/>
      <c r="AF608" s="323"/>
      <c r="AG608" s="323"/>
      <c r="AH608" s="323"/>
      <c r="AI608" s="323"/>
      <c r="AJ608" s="323"/>
      <c r="AK608" s="323"/>
      <c r="AL608" s="323"/>
      <c r="AM608" s="323"/>
      <c r="AN608" s="457"/>
      <c r="AO608" s="457"/>
      <c r="AP608" s="457"/>
      <c r="AQ608" s="457"/>
      <c r="AR608" s="457"/>
      <c r="AS608" s="457"/>
      <c r="AT608" s="457"/>
      <c r="AU608" s="457"/>
      <c r="AV608" s="323"/>
      <c r="AW608" s="323"/>
      <c r="AX608" s="323"/>
      <c r="AY608" s="323"/>
      <c r="AZ608" s="323"/>
      <c r="BA608" s="323"/>
      <c r="BB608" s="323"/>
      <c r="BC608" s="323"/>
      <c r="BD608" s="323"/>
      <c r="BE608" s="323"/>
      <c r="BF608" s="323"/>
      <c r="BG608" s="323"/>
      <c r="BH608" s="323"/>
      <c r="BI608" s="323"/>
      <c r="BJ608" s="323"/>
      <c r="BK608" s="323"/>
      <c r="BL608" s="323"/>
      <c r="BM608" s="323"/>
      <c r="BN608" s="323"/>
      <c r="BO608" s="323"/>
      <c r="BP608" s="323"/>
      <c r="BQ608" s="323"/>
      <c r="BR608" s="323"/>
      <c r="BS608" s="323"/>
      <c r="BT608" s="323"/>
      <c r="BU608" s="323"/>
      <c r="BV608" s="323"/>
      <c r="BW608" s="323"/>
      <c r="BX608" s="323"/>
      <c r="BY608" s="323"/>
      <c r="BZ608" s="323"/>
      <c r="CA608" s="323"/>
      <c r="CB608" s="323"/>
      <c r="CC608" s="323"/>
    </row>
    <row r="609" spans="23:81" x14ac:dyDescent="0.35">
      <c r="W609" s="305"/>
      <c r="X609" s="323"/>
      <c r="Y609" s="323"/>
      <c r="Z609" s="323"/>
      <c r="AA609" s="323"/>
      <c r="AB609" s="323"/>
      <c r="AC609" s="323"/>
      <c r="AD609" s="323"/>
      <c r="AE609" s="323"/>
      <c r="AF609" s="323"/>
      <c r="AG609" s="323"/>
      <c r="AH609" s="323"/>
      <c r="AI609" s="323"/>
      <c r="AJ609" s="323"/>
      <c r="AK609" s="323"/>
      <c r="AL609" s="323"/>
      <c r="AM609" s="323"/>
      <c r="AN609" s="457"/>
      <c r="AO609" s="457"/>
      <c r="AP609" s="457"/>
      <c r="AQ609" s="457"/>
      <c r="AR609" s="457"/>
      <c r="AS609" s="457"/>
      <c r="AT609" s="457"/>
      <c r="AU609" s="457"/>
      <c r="AV609" s="323"/>
      <c r="AW609" s="323"/>
      <c r="AX609" s="323"/>
      <c r="AY609" s="323"/>
      <c r="AZ609" s="323"/>
      <c r="BA609" s="323"/>
      <c r="BB609" s="323"/>
      <c r="BC609" s="323"/>
      <c r="BD609" s="323"/>
      <c r="BE609" s="323"/>
      <c r="BF609" s="323"/>
      <c r="BG609" s="323"/>
      <c r="BH609" s="323"/>
      <c r="BI609" s="323"/>
      <c r="BJ609" s="323"/>
      <c r="BK609" s="323"/>
      <c r="BL609" s="323"/>
      <c r="BM609" s="323"/>
      <c r="BN609" s="323"/>
      <c r="BO609" s="323"/>
      <c r="BP609" s="323"/>
      <c r="BQ609" s="323"/>
      <c r="BR609" s="323"/>
      <c r="BS609" s="323"/>
      <c r="BT609" s="323"/>
      <c r="BU609" s="323"/>
      <c r="BV609" s="323"/>
      <c r="BW609" s="323"/>
      <c r="BX609" s="323"/>
      <c r="BY609" s="323"/>
      <c r="BZ609" s="323"/>
      <c r="CA609" s="323"/>
      <c r="CB609" s="323"/>
      <c r="CC609" s="323"/>
    </row>
    <row r="610" spans="23:81" x14ac:dyDescent="0.35">
      <c r="W610" s="305"/>
      <c r="X610" s="323"/>
      <c r="Y610" s="323"/>
      <c r="Z610" s="323"/>
      <c r="AA610" s="323"/>
      <c r="AB610" s="323"/>
      <c r="AC610" s="323"/>
      <c r="AD610" s="323"/>
      <c r="AE610" s="323"/>
      <c r="AF610" s="323"/>
      <c r="AG610" s="323"/>
      <c r="AH610" s="323"/>
      <c r="AI610" s="323"/>
      <c r="AJ610" s="323"/>
      <c r="AK610" s="323"/>
      <c r="AL610" s="323"/>
      <c r="AM610" s="323"/>
      <c r="AN610" s="457"/>
      <c r="AO610" s="457"/>
      <c r="AP610" s="457"/>
      <c r="AQ610" s="457"/>
      <c r="AR610" s="457"/>
      <c r="AS610" s="457"/>
      <c r="AT610" s="457"/>
      <c r="AU610" s="457"/>
      <c r="AV610" s="323"/>
      <c r="AW610" s="323"/>
      <c r="AX610" s="323"/>
      <c r="AY610" s="323"/>
      <c r="AZ610" s="323"/>
      <c r="BA610" s="323"/>
      <c r="BB610" s="323"/>
      <c r="BC610" s="323"/>
      <c r="BD610" s="323"/>
      <c r="BE610" s="323"/>
      <c r="BF610" s="323"/>
      <c r="BG610" s="323"/>
      <c r="BH610" s="323"/>
      <c r="BI610" s="323"/>
      <c r="BJ610" s="323"/>
      <c r="BK610" s="323"/>
      <c r="BL610" s="323"/>
      <c r="BM610" s="323"/>
      <c r="BN610" s="323"/>
      <c r="BO610" s="323"/>
      <c r="BP610" s="323"/>
      <c r="BQ610" s="323"/>
      <c r="BR610" s="323"/>
      <c r="BS610" s="323"/>
      <c r="BT610" s="323"/>
      <c r="BU610" s="323"/>
      <c r="BV610" s="323"/>
      <c r="BW610" s="323"/>
      <c r="BX610" s="323"/>
      <c r="BY610" s="323"/>
      <c r="BZ610" s="323"/>
      <c r="CA610" s="323"/>
      <c r="CB610" s="323"/>
      <c r="CC610" s="323"/>
    </row>
    <row r="611" spans="23:81" x14ac:dyDescent="0.35">
      <c r="W611" s="305"/>
      <c r="X611" s="323"/>
      <c r="Y611" s="323"/>
      <c r="Z611" s="323"/>
      <c r="AA611" s="323"/>
      <c r="AB611" s="323"/>
      <c r="AC611" s="323"/>
      <c r="AD611" s="323"/>
      <c r="AE611" s="323"/>
      <c r="AF611" s="323"/>
      <c r="AG611" s="323"/>
      <c r="AH611" s="323"/>
      <c r="AI611" s="323"/>
      <c r="AJ611" s="323"/>
      <c r="AK611" s="323"/>
      <c r="AL611" s="323"/>
      <c r="AM611" s="323"/>
      <c r="AN611" s="457"/>
      <c r="AO611" s="457"/>
      <c r="AP611" s="457"/>
      <c r="AQ611" s="457"/>
      <c r="AR611" s="457"/>
      <c r="AS611" s="457"/>
      <c r="AT611" s="457"/>
      <c r="AU611" s="457"/>
      <c r="AV611" s="323"/>
      <c r="AW611" s="323"/>
      <c r="AX611" s="323"/>
      <c r="AY611" s="323"/>
      <c r="AZ611" s="323"/>
      <c r="BA611" s="323"/>
      <c r="BB611" s="323"/>
      <c r="BC611" s="323"/>
      <c r="BD611" s="323"/>
      <c r="BE611" s="323"/>
      <c r="BF611" s="323"/>
      <c r="BG611" s="323"/>
      <c r="BH611" s="323"/>
      <c r="BI611" s="323"/>
      <c r="BJ611" s="323"/>
      <c r="BK611" s="323"/>
      <c r="BL611" s="323"/>
      <c r="BM611" s="323"/>
      <c r="BN611" s="323"/>
      <c r="BO611" s="323"/>
      <c r="BP611" s="323"/>
      <c r="BQ611" s="323"/>
      <c r="BR611" s="323"/>
      <c r="BS611" s="323"/>
      <c r="BT611" s="323"/>
      <c r="BU611" s="323"/>
      <c r="BV611" s="323"/>
      <c r="BW611" s="323"/>
      <c r="BX611" s="323"/>
      <c r="BY611" s="323"/>
      <c r="BZ611" s="323"/>
      <c r="CA611" s="323"/>
      <c r="CB611" s="323"/>
      <c r="CC611" s="323"/>
    </row>
    <row r="612" spans="23:81" x14ac:dyDescent="0.35">
      <c r="W612" s="305"/>
      <c r="X612" s="323"/>
      <c r="Y612" s="323"/>
      <c r="Z612" s="323"/>
      <c r="AA612" s="323"/>
      <c r="AB612" s="323"/>
      <c r="AC612" s="323"/>
      <c r="AD612" s="323"/>
      <c r="AE612" s="323"/>
      <c r="AF612" s="323"/>
      <c r="AG612" s="323"/>
      <c r="AH612" s="323"/>
      <c r="AI612" s="323"/>
      <c r="AJ612" s="323"/>
      <c r="AK612" s="323"/>
      <c r="AL612" s="323"/>
      <c r="AM612" s="323"/>
      <c r="AN612" s="457"/>
      <c r="AO612" s="457"/>
      <c r="AP612" s="457"/>
      <c r="AQ612" s="457"/>
      <c r="AR612" s="457"/>
      <c r="AS612" s="457"/>
      <c r="AT612" s="457"/>
      <c r="AU612" s="457"/>
      <c r="AV612" s="323"/>
      <c r="AW612" s="323"/>
      <c r="AX612" s="323"/>
      <c r="AY612" s="323"/>
      <c r="AZ612" s="323"/>
      <c r="BA612" s="323"/>
      <c r="BB612" s="323"/>
      <c r="BC612" s="323"/>
      <c r="BD612" s="323"/>
      <c r="BE612" s="323"/>
      <c r="BF612" s="323"/>
      <c r="BG612" s="323"/>
      <c r="BH612" s="323"/>
      <c r="BI612" s="323"/>
      <c r="BJ612" s="323"/>
      <c r="BK612" s="323"/>
      <c r="BL612" s="323"/>
      <c r="BM612" s="323"/>
      <c r="BN612" s="323"/>
      <c r="BO612" s="323"/>
      <c r="BP612" s="323"/>
      <c r="BQ612" s="323"/>
      <c r="BR612" s="323"/>
      <c r="BS612" s="323"/>
      <c r="BT612" s="323"/>
      <c r="BU612" s="323"/>
      <c r="BV612" s="323"/>
      <c r="BW612" s="323"/>
      <c r="BX612" s="323"/>
      <c r="BY612" s="323"/>
      <c r="BZ612" s="323"/>
      <c r="CA612" s="323"/>
      <c r="CB612" s="323"/>
      <c r="CC612" s="323"/>
    </row>
    <row r="613" spans="23:81" x14ac:dyDescent="0.35">
      <c r="W613" s="305"/>
      <c r="X613" s="323"/>
      <c r="Y613" s="323"/>
      <c r="Z613" s="323"/>
      <c r="AA613" s="323"/>
      <c r="AB613" s="323"/>
      <c r="AC613" s="323"/>
      <c r="AD613" s="323"/>
      <c r="AE613" s="323"/>
      <c r="AF613" s="323"/>
      <c r="AG613" s="323"/>
      <c r="AH613" s="323"/>
      <c r="AI613" s="323"/>
      <c r="AJ613" s="323"/>
      <c r="AK613" s="323"/>
      <c r="AL613" s="323"/>
      <c r="AM613" s="323"/>
      <c r="AN613" s="457"/>
      <c r="AO613" s="457"/>
      <c r="AP613" s="457"/>
      <c r="AQ613" s="457"/>
      <c r="AR613" s="457"/>
      <c r="AS613" s="457"/>
      <c r="AT613" s="457"/>
      <c r="AU613" s="457"/>
      <c r="AV613" s="323"/>
      <c r="AW613" s="323"/>
      <c r="AX613" s="323"/>
      <c r="AY613" s="323"/>
      <c r="AZ613" s="323"/>
      <c r="BA613" s="323"/>
      <c r="BB613" s="323"/>
      <c r="BC613" s="323"/>
      <c r="BD613" s="323"/>
      <c r="BE613" s="323"/>
      <c r="BF613" s="323"/>
      <c r="BG613" s="323"/>
      <c r="BH613" s="323"/>
      <c r="BI613" s="323"/>
      <c r="BJ613" s="323"/>
      <c r="BK613" s="323"/>
      <c r="BL613" s="323"/>
      <c r="BM613" s="323"/>
      <c r="BN613" s="323"/>
      <c r="BO613" s="323"/>
      <c r="BP613" s="323"/>
      <c r="BQ613" s="323"/>
      <c r="BR613" s="323"/>
      <c r="BS613" s="323"/>
      <c r="BT613" s="323"/>
      <c r="BU613" s="323"/>
      <c r="BV613" s="323"/>
      <c r="BW613" s="323"/>
      <c r="BX613" s="323"/>
      <c r="BY613" s="323"/>
      <c r="BZ613" s="323"/>
      <c r="CA613" s="323"/>
      <c r="CB613" s="323"/>
      <c r="CC613" s="323"/>
    </row>
    <row r="614" spans="23:81" x14ac:dyDescent="0.35">
      <c r="W614" s="305"/>
      <c r="X614" s="323"/>
      <c r="Y614" s="323"/>
      <c r="Z614" s="323"/>
      <c r="AA614" s="323"/>
      <c r="AB614" s="323"/>
      <c r="AC614" s="323"/>
      <c r="AD614" s="323"/>
      <c r="AE614" s="323"/>
      <c r="AF614" s="323"/>
      <c r="AG614" s="323"/>
      <c r="AH614" s="323"/>
      <c r="AI614" s="323"/>
      <c r="AJ614" s="323"/>
      <c r="AK614" s="323"/>
      <c r="AL614" s="323"/>
      <c r="AM614" s="323"/>
      <c r="AN614" s="457"/>
      <c r="AO614" s="457"/>
      <c r="AP614" s="457"/>
      <c r="AQ614" s="457"/>
      <c r="AR614" s="457"/>
      <c r="AS614" s="457"/>
      <c r="AT614" s="457"/>
      <c r="AU614" s="457"/>
      <c r="AV614" s="323"/>
      <c r="AW614" s="323"/>
      <c r="AX614" s="323"/>
      <c r="AY614" s="323"/>
      <c r="AZ614" s="323"/>
      <c r="BA614" s="323"/>
      <c r="BB614" s="323"/>
      <c r="BC614" s="323"/>
      <c r="BD614" s="323"/>
      <c r="BE614" s="323"/>
      <c r="BF614" s="323"/>
      <c r="BG614" s="323"/>
      <c r="BH614" s="323"/>
      <c r="BI614" s="323"/>
      <c r="BJ614" s="323"/>
      <c r="BK614" s="323"/>
      <c r="BL614" s="323"/>
      <c r="BM614" s="323"/>
      <c r="BN614" s="323"/>
      <c r="BO614" s="323"/>
      <c r="BP614" s="323"/>
      <c r="BQ614" s="323"/>
      <c r="BR614" s="323"/>
      <c r="BS614" s="323"/>
      <c r="BT614" s="323"/>
      <c r="BU614" s="323"/>
      <c r="BV614" s="323"/>
      <c r="BW614" s="323"/>
      <c r="BX614" s="323"/>
      <c r="BY614" s="323"/>
      <c r="BZ614" s="323"/>
      <c r="CA614" s="323"/>
      <c r="CB614" s="323"/>
      <c r="CC614" s="323"/>
    </row>
    <row r="615" spans="23:81" x14ac:dyDescent="0.35">
      <c r="W615" s="305"/>
      <c r="X615" s="323"/>
      <c r="Y615" s="323"/>
      <c r="Z615" s="323"/>
      <c r="AA615" s="323"/>
      <c r="AB615" s="323"/>
      <c r="AC615" s="323"/>
      <c r="AD615" s="323"/>
      <c r="AE615" s="323"/>
      <c r="AF615" s="323"/>
      <c r="AG615" s="323"/>
      <c r="AH615" s="323"/>
      <c r="AI615" s="323"/>
      <c r="AJ615" s="323"/>
      <c r="AK615" s="323"/>
      <c r="AL615" s="323"/>
      <c r="AM615" s="323"/>
      <c r="AN615" s="457"/>
      <c r="AO615" s="457"/>
      <c r="AP615" s="457"/>
      <c r="AQ615" s="457"/>
      <c r="AR615" s="457"/>
      <c r="AS615" s="457"/>
      <c r="AT615" s="457"/>
      <c r="AU615" s="457"/>
      <c r="AV615" s="323"/>
      <c r="AW615" s="323"/>
      <c r="AX615" s="323"/>
      <c r="AY615" s="323"/>
      <c r="AZ615" s="323"/>
      <c r="BA615" s="323"/>
      <c r="BB615" s="323"/>
      <c r="BC615" s="323"/>
      <c r="BD615" s="323"/>
      <c r="BE615" s="323"/>
      <c r="BF615" s="323"/>
      <c r="BG615" s="323"/>
      <c r="BH615" s="323"/>
      <c r="BI615" s="323"/>
      <c r="BJ615" s="323"/>
      <c r="BK615" s="323"/>
      <c r="BL615" s="323"/>
      <c r="BM615" s="323"/>
      <c r="BN615" s="323"/>
      <c r="BO615" s="323"/>
      <c r="BP615" s="323"/>
      <c r="BQ615" s="323"/>
      <c r="BR615" s="323"/>
      <c r="BS615" s="323"/>
      <c r="BT615" s="323"/>
      <c r="BU615" s="323"/>
      <c r="BV615" s="323"/>
      <c r="BW615" s="323"/>
      <c r="BX615" s="323"/>
      <c r="BY615" s="323"/>
      <c r="BZ615" s="323"/>
      <c r="CA615" s="323"/>
      <c r="CB615" s="323"/>
      <c r="CC615" s="323"/>
    </row>
    <row r="616" spans="23:81" x14ac:dyDescent="0.35">
      <c r="W616" s="305"/>
      <c r="X616" s="323"/>
      <c r="Y616" s="323"/>
      <c r="Z616" s="323"/>
      <c r="AA616" s="323"/>
      <c r="AB616" s="323"/>
      <c r="AC616" s="323"/>
      <c r="AD616" s="323"/>
      <c r="AE616" s="323"/>
      <c r="AF616" s="323"/>
      <c r="AG616" s="323"/>
      <c r="AH616" s="323"/>
      <c r="AI616" s="323"/>
      <c r="AJ616" s="323"/>
      <c r="AK616" s="323"/>
      <c r="AL616" s="323"/>
      <c r="AM616" s="323"/>
      <c r="AN616" s="457"/>
      <c r="AO616" s="457"/>
      <c r="AP616" s="457"/>
      <c r="AQ616" s="457"/>
      <c r="AR616" s="457"/>
      <c r="AS616" s="457"/>
      <c r="AT616" s="457"/>
      <c r="AU616" s="457"/>
      <c r="AV616" s="323"/>
      <c r="AW616" s="323"/>
      <c r="AX616" s="323"/>
      <c r="AY616" s="323"/>
      <c r="AZ616" s="323"/>
      <c r="BA616" s="323"/>
      <c r="BB616" s="323"/>
      <c r="BC616" s="323"/>
      <c r="BD616" s="323"/>
      <c r="BE616" s="323"/>
      <c r="BF616" s="323"/>
      <c r="BG616" s="323"/>
      <c r="BH616" s="323"/>
      <c r="BI616" s="323"/>
      <c r="BJ616" s="323"/>
      <c r="BK616" s="323"/>
      <c r="BL616" s="323"/>
      <c r="BM616" s="323"/>
      <c r="BN616" s="323"/>
      <c r="BO616" s="323"/>
      <c r="BP616" s="323"/>
      <c r="BQ616" s="323"/>
      <c r="BR616" s="323"/>
      <c r="BS616" s="323"/>
      <c r="BT616" s="323"/>
      <c r="BU616" s="323"/>
      <c r="BV616" s="323"/>
      <c r="BW616" s="323"/>
      <c r="BX616" s="323"/>
      <c r="BY616" s="323"/>
      <c r="BZ616" s="323"/>
      <c r="CA616" s="323"/>
      <c r="CB616" s="323"/>
      <c r="CC616" s="323"/>
    </row>
    <row r="617" spans="23:81" x14ac:dyDescent="0.35">
      <c r="W617" s="305"/>
      <c r="X617" s="323"/>
      <c r="Y617" s="323"/>
      <c r="Z617" s="323"/>
      <c r="AA617" s="323"/>
      <c r="AB617" s="323"/>
      <c r="AC617" s="323"/>
      <c r="AD617" s="323"/>
      <c r="AE617" s="323"/>
      <c r="AF617" s="323"/>
      <c r="AG617" s="323"/>
      <c r="AH617" s="323"/>
      <c r="AI617" s="323"/>
      <c r="AJ617" s="323"/>
      <c r="AK617" s="323"/>
      <c r="AL617" s="323"/>
      <c r="AM617" s="323"/>
      <c r="AN617" s="457"/>
      <c r="AO617" s="457"/>
      <c r="AP617" s="457"/>
      <c r="AQ617" s="457"/>
      <c r="AR617" s="457"/>
      <c r="AS617" s="457"/>
      <c r="AT617" s="457"/>
      <c r="AU617" s="457"/>
      <c r="AV617" s="323"/>
      <c r="AW617" s="323"/>
      <c r="AX617" s="323"/>
      <c r="AY617" s="323"/>
      <c r="AZ617" s="323"/>
      <c r="BA617" s="323"/>
      <c r="BB617" s="323"/>
      <c r="BC617" s="323"/>
      <c r="BD617" s="323"/>
      <c r="BE617" s="323"/>
      <c r="BF617" s="323"/>
      <c r="BG617" s="323"/>
      <c r="BH617" s="323"/>
      <c r="BI617" s="323"/>
      <c r="BJ617" s="323"/>
      <c r="BK617" s="323"/>
      <c r="BL617" s="323"/>
      <c r="BM617" s="323"/>
      <c r="BN617" s="323"/>
      <c r="BO617" s="323"/>
      <c r="BP617" s="323"/>
      <c r="BQ617" s="323"/>
      <c r="BR617" s="323"/>
      <c r="BS617" s="323"/>
      <c r="BT617" s="323"/>
      <c r="BU617" s="323"/>
      <c r="BV617" s="323"/>
      <c r="BW617" s="323"/>
      <c r="BX617" s="323"/>
      <c r="BY617" s="323"/>
      <c r="BZ617" s="323"/>
      <c r="CA617" s="323"/>
      <c r="CB617" s="323"/>
      <c r="CC617" s="323"/>
    </row>
    <row r="618" spans="23:81" x14ac:dyDescent="0.35">
      <c r="W618" s="305"/>
      <c r="X618" s="323"/>
      <c r="Y618" s="323"/>
      <c r="Z618" s="323"/>
      <c r="AA618" s="323"/>
      <c r="AB618" s="323"/>
      <c r="AC618" s="323"/>
      <c r="AD618" s="323"/>
      <c r="AE618" s="323"/>
      <c r="AF618" s="323"/>
      <c r="AG618" s="323"/>
      <c r="AH618" s="323"/>
      <c r="AI618" s="323"/>
      <c r="AJ618" s="323"/>
      <c r="AK618" s="323"/>
      <c r="AL618" s="323"/>
      <c r="AM618" s="323"/>
      <c r="AN618" s="457"/>
      <c r="AO618" s="457"/>
      <c r="AP618" s="457"/>
      <c r="AQ618" s="457"/>
      <c r="AR618" s="457"/>
      <c r="AS618" s="457"/>
      <c r="AT618" s="457"/>
      <c r="AU618" s="457"/>
      <c r="AV618" s="323"/>
      <c r="AW618" s="323"/>
      <c r="AX618" s="323"/>
      <c r="AY618" s="323"/>
      <c r="AZ618" s="323"/>
      <c r="BA618" s="323"/>
      <c r="BB618" s="323"/>
      <c r="BC618" s="323"/>
      <c r="BD618" s="323"/>
      <c r="BE618" s="323"/>
      <c r="BF618" s="323"/>
      <c r="BG618" s="323"/>
      <c r="BH618" s="323"/>
      <c r="BI618" s="323"/>
      <c r="BJ618" s="323"/>
      <c r="BK618" s="323"/>
      <c r="BL618" s="323"/>
      <c r="BM618" s="323"/>
      <c r="BN618" s="323"/>
      <c r="BO618" s="323"/>
      <c r="BP618" s="323"/>
      <c r="BQ618" s="323"/>
      <c r="BR618" s="323"/>
      <c r="BS618" s="323"/>
      <c r="BT618" s="323"/>
      <c r="BU618" s="323"/>
      <c r="BV618" s="323"/>
      <c r="BW618" s="323"/>
      <c r="BX618" s="323"/>
      <c r="BY618" s="323"/>
      <c r="BZ618" s="323"/>
      <c r="CA618" s="323"/>
      <c r="CB618" s="323"/>
      <c r="CC618" s="323"/>
    </row>
    <row r="619" spans="23:81" x14ac:dyDescent="0.35">
      <c r="W619" s="305"/>
      <c r="X619" s="323"/>
      <c r="Y619" s="323"/>
      <c r="Z619" s="323"/>
      <c r="AA619" s="323"/>
      <c r="AB619" s="323"/>
      <c r="AC619" s="323"/>
      <c r="AD619" s="323"/>
      <c r="AE619" s="323"/>
      <c r="AF619" s="323"/>
      <c r="AG619" s="323"/>
      <c r="AH619" s="323"/>
      <c r="AI619" s="323"/>
      <c r="AJ619" s="323"/>
      <c r="AK619" s="323"/>
      <c r="AL619" s="323"/>
      <c r="AM619" s="323"/>
      <c r="AN619" s="457"/>
      <c r="AO619" s="457"/>
      <c r="AP619" s="457"/>
      <c r="AQ619" s="457"/>
      <c r="AR619" s="457"/>
      <c r="AS619" s="457"/>
      <c r="AT619" s="457"/>
      <c r="AU619" s="457"/>
      <c r="AV619" s="323"/>
      <c r="AW619" s="323"/>
      <c r="AX619" s="323"/>
      <c r="AY619" s="323"/>
      <c r="AZ619" s="323"/>
      <c r="BA619" s="323"/>
      <c r="BB619" s="323"/>
      <c r="BC619" s="323"/>
      <c r="BD619" s="323"/>
      <c r="BE619" s="323"/>
      <c r="BF619" s="323"/>
      <c r="BG619" s="323"/>
      <c r="BH619" s="323"/>
      <c r="BI619" s="323"/>
      <c r="BJ619" s="323"/>
      <c r="BK619" s="323"/>
      <c r="BL619" s="323"/>
      <c r="BM619" s="323"/>
      <c r="BN619" s="323"/>
      <c r="BO619" s="323"/>
      <c r="BP619" s="323"/>
      <c r="BQ619" s="323"/>
      <c r="BR619" s="323"/>
      <c r="BS619" s="323"/>
      <c r="BT619" s="323"/>
      <c r="BU619" s="323"/>
      <c r="BV619" s="323"/>
      <c r="BW619" s="323"/>
      <c r="BX619" s="323"/>
      <c r="BY619" s="323"/>
      <c r="BZ619" s="323"/>
      <c r="CA619" s="323"/>
      <c r="CB619" s="323"/>
      <c r="CC619" s="323"/>
    </row>
    <row r="620" spans="23:81" x14ac:dyDescent="0.35">
      <c r="W620" s="305"/>
      <c r="X620" s="323"/>
      <c r="Y620" s="323"/>
      <c r="Z620" s="323"/>
      <c r="AA620" s="323"/>
      <c r="AB620" s="323"/>
      <c r="AC620" s="323"/>
      <c r="AD620" s="323"/>
      <c r="AE620" s="323"/>
      <c r="AF620" s="323"/>
      <c r="AG620" s="323"/>
      <c r="AH620" s="323"/>
      <c r="AI620" s="323"/>
      <c r="AJ620" s="323"/>
      <c r="AK620" s="323"/>
      <c r="AL620" s="323"/>
      <c r="AM620" s="323"/>
      <c r="AN620" s="457"/>
      <c r="AO620" s="457"/>
      <c r="AP620" s="457"/>
      <c r="AQ620" s="457"/>
      <c r="AR620" s="457"/>
      <c r="AS620" s="457"/>
      <c r="AT620" s="457"/>
      <c r="AU620" s="457"/>
      <c r="AV620" s="323"/>
      <c r="AW620" s="323"/>
      <c r="AX620" s="323"/>
      <c r="AY620" s="323"/>
      <c r="AZ620" s="323"/>
      <c r="BA620" s="323"/>
      <c r="BB620" s="323"/>
      <c r="BC620" s="323"/>
      <c r="BD620" s="323"/>
      <c r="BE620" s="323"/>
      <c r="BF620" s="323"/>
      <c r="BG620" s="323"/>
      <c r="BH620" s="323"/>
      <c r="BI620" s="323"/>
      <c r="BJ620" s="323"/>
      <c r="BK620" s="323"/>
      <c r="BL620" s="323"/>
      <c r="BM620" s="323"/>
      <c r="BN620" s="323"/>
      <c r="BO620" s="323"/>
      <c r="BP620" s="323"/>
      <c r="BQ620" s="323"/>
      <c r="BR620" s="323"/>
      <c r="BS620" s="323"/>
      <c r="BT620" s="323"/>
      <c r="BU620" s="323"/>
      <c r="BV620" s="323"/>
      <c r="BW620" s="323"/>
      <c r="BX620" s="323"/>
      <c r="BY620" s="323"/>
      <c r="BZ620" s="323"/>
      <c r="CA620" s="323"/>
      <c r="CB620" s="323"/>
      <c r="CC620" s="323"/>
    </row>
    <row r="621" spans="23:81" x14ac:dyDescent="0.35">
      <c r="W621" s="305"/>
      <c r="X621" s="323"/>
      <c r="Y621" s="323"/>
      <c r="Z621" s="323"/>
      <c r="AA621" s="323"/>
      <c r="AB621" s="323"/>
      <c r="AC621" s="323"/>
      <c r="AD621" s="323"/>
      <c r="AE621" s="323"/>
      <c r="AF621" s="323"/>
      <c r="AG621" s="323"/>
      <c r="AH621" s="323"/>
      <c r="AI621" s="323"/>
      <c r="AJ621" s="323"/>
      <c r="AK621" s="323"/>
      <c r="AL621" s="323"/>
      <c r="AM621" s="323"/>
      <c r="AN621" s="457"/>
      <c r="AO621" s="457"/>
      <c r="AP621" s="457"/>
      <c r="AQ621" s="457"/>
      <c r="AR621" s="457"/>
      <c r="AS621" s="457"/>
      <c r="AT621" s="457"/>
      <c r="AU621" s="457"/>
      <c r="AV621" s="323"/>
      <c r="AW621" s="323"/>
      <c r="AX621" s="323"/>
      <c r="AY621" s="323"/>
      <c r="AZ621" s="323"/>
      <c r="BA621" s="323"/>
      <c r="BB621" s="323"/>
      <c r="BC621" s="323"/>
      <c r="BD621" s="323"/>
      <c r="BE621" s="323"/>
      <c r="BF621" s="323"/>
      <c r="BG621" s="323"/>
      <c r="BH621" s="323"/>
      <c r="BI621" s="323"/>
      <c r="BJ621" s="323"/>
      <c r="BK621" s="323"/>
      <c r="BL621" s="323"/>
      <c r="BM621" s="323"/>
      <c r="BN621" s="323"/>
      <c r="BO621" s="323"/>
      <c r="BP621" s="323"/>
      <c r="BQ621" s="323"/>
      <c r="BR621" s="323"/>
      <c r="BS621" s="323"/>
      <c r="BT621" s="323"/>
      <c r="BU621" s="323"/>
      <c r="BV621" s="323"/>
      <c r="BW621" s="323"/>
      <c r="BX621" s="323"/>
      <c r="BY621" s="323"/>
      <c r="BZ621" s="323"/>
      <c r="CA621" s="323"/>
      <c r="CB621" s="323"/>
      <c r="CC621" s="323"/>
    </row>
    <row r="622" spans="23:81" x14ac:dyDescent="0.35">
      <c r="W622" s="305"/>
      <c r="X622" s="323"/>
      <c r="Y622" s="323"/>
      <c r="Z622" s="323"/>
      <c r="AA622" s="323"/>
      <c r="AB622" s="323"/>
      <c r="AC622" s="323"/>
      <c r="AD622" s="323"/>
      <c r="AE622" s="323"/>
      <c r="AF622" s="323"/>
      <c r="AG622" s="323"/>
      <c r="AH622" s="323"/>
      <c r="AI622" s="323"/>
      <c r="AJ622" s="323"/>
      <c r="AK622" s="323"/>
      <c r="AL622" s="323"/>
      <c r="AM622" s="323"/>
      <c r="AN622" s="457"/>
      <c r="AO622" s="457"/>
      <c r="AP622" s="457"/>
      <c r="AQ622" s="457"/>
      <c r="AR622" s="457"/>
      <c r="AS622" s="457"/>
      <c r="AT622" s="457"/>
      <c r="AU622" s="457"/>
      <c r="AV622" s="323"/>
      <c r="AW622" s="323"/>
      <c r="AX622" s="323"/>
      <c r="AY622" s="323"/>
      <c r="AZ622" s="323"/>
      <c r="BA622" s="323"/>
      <c r="BB622" s="323"/>
      <c r="BC622" s="323"/>
      <c r="BD622" s="323"/>
      <c r="BE622" s="323"/>
      <c r="BF622" s="323"/>
      <c r="BG622" s="323"/>
      <c r="BH622" s="323"/>
      <c r="BI622" s="323"/>
      <c r="BJ622" s="323"/>
      <c r="BK622" s="323"/>
      <c r="BL622" s="323"/>
      <c r="BM622" s="323"/>
      <c r="BN622" s="323"/>
      <c r="BO622" s="323"/>
      <c r="BP622" s="323"/>
      <c r="BQ622" s="323"/>
      <c r="BR622" s="323"/>
      <c r="BS622" s="323"/>
      <c r="BT622" s="323"/>
      <c r="BU622" s="323"/>
      <c r="BV622" s="323"/>
      <c r="BW622" s="323"/>
      <c r="BX622" s="323"/>
      <c r="BY622" s="323"/>
      <c r="BZ622" s="323"/>
      <c r="CA622" s="323"/>
      <c r="CB622" s="323"/>
      <c r="CC622" s="323"/>
    </row>
    <row r="623" spans="23:81" x14ac:dyDescent="0.35">
      <c r="W623" s="305"/>
      <c r="X623" s="323"/>
      <c r="Y623" s="323"/>
      <c r="Z623" s="323"/>
      <c r="AA623" s="323"/>
      <c r="AB623" s="323"/>
      <c r="AC623" s="323"/>
      <c r="AD623" s="323"/>
      <c r="AE623" s="323"/>
      <c r="AF623" s="323"/>
      <c r="AG623" s="323"/>
      <c r="AH623" s="323"/>
      <c r="AI623" s="323"/>
      <c r="AJ623" s="323"/>
      <c r="AK623" s="323"/>
      <c r="AL623" s="323"/>
      <c r="AM623" s="323"/>
      <c r="AN623" s="457"/>
      <c r="AO623" s="457"/>
      <c r="AP623" s="457"/>
      <c r="AQ623" s="457"/>
      <c r="AR623" s="457"/>
      <c r="AS623" s="457"/>
      <c r="AT623" s="457"/>
      <c r="AU623" s="457"/>
      <c r="AV623" s="323"/>
      <c r="AW623" s="323"/>
      <c r="AX623" s="323"/>
      <c r="AY623" s="323"/>
      <c r="AZ623" s="323"/>
      <c r="BA623" s="323"/>
      <c r="BB623" s="323"/>
      <c r="BC623" s="323"/>
      <c r="BD623" s="323"/>
      <c r="BE623" s="323"/>
      <c r="BF623" s="323"/>
      <c r="BG623" s="323"/>
      <c r="BH623" s="323"/>
      <c r="BI623" s="323"/>
      <c r="BJ623" s="323"/>
      <c r="BK623" s="323"/>
      <c r="BL623" s="323"/>
      <c r="BM623" s="323"/>
      <c r="BN623" s="323"/>
      <c r="BO623" s="323"/>
      <c r="BP623" s="323"/>
      <c r="BQ623" s="323"/>
      <c r="BR623" s="323"/>
      <c r="BS623" s="323"/>
      <c r="BT623" s="323"/>
      <c r="BU623" s="323"/>
      <c r="BV623" s="323"/>
      <c r="BW623" s="323"/>
      <c r="BX623" s="323"/>
      <c r="BY623" s="323"/>
      <c r="BZ623" s="323"/>
      <c r="CA623" s="323"/>
      <c r="CB623" s="323"/>
      <c r="CC623" s="323"/>
    </row>
    <row r="624" spans="23:81" x14ac:dyDescent="0.35">
      <c r="W624" s="305"/>
      <c r="X624" s="323"/>
      <c r="Y624" s="323"/>
      <c r="Z624" s="323"/>
      <c r="AA624" s="323"/>
      <c r="AB624" s="323"/>
      <c r="AC624" s="323"/>
      <c r="AD624" s="323"/>
      <c r="AE624" s="323"/>
      <c r="AF624" s="323"/>
      <c r="AG624" s="323"/>
      <c r="AH624" s="323"/>
      <c r="AI624" s="323"/>
      <c r="AJ624" s="323"/>
      <c r="AK624" s="323"/>
      <c r="AL624" s="323"/>
      <c r="AM624" s="323"/>
      <c r="AN624" s="457"/>
      <c r="AO624" s="457"/>
      <c r="AP624" s="457"/>
      <c r="AQ624" s="457"/>
      <c r="AR624" s="457"/>
      <c r="AS624" s="457"/>
      <c r="AT624" s="457"/>
      <c r="AU624" s="457"/>
      <c r="AV624" s="323"/>
      <c r="AW624" s="323"/>
      <c r="AX624" s="323"/>
      <c r="AY624" s="323"/>
      <c r="AZ624" s="323"/>
      <c r="BA624" s="323"/>
      <c r="BB624" s="323"/>
      <c r="BC624" s="323"/>
      <c r="BD624" s="323"/>
      <c r="BE624" s="323"/>
      <c r="BF624" s="323"/>
      <c r="BG624" s="323"/>
      <c r="BH624" s="323"/>
      <c r="BI624" s="323"/>
      <c r="BJ624" s="323"/>
      <c r="BK624" s="323"/>
      <c r="BL624" s="323"/>
      <c r="BM624" s="323"/>
      <c r="BN624" s="323"/>
      <c r="BO624" s="323"/>
      <c r="BP624" s="323"/>
      <c r="BQ624" s="323"/>
      <c r="BR624" s="323"/>
      <c r="BS624" s="323"/>
      <c r="BT624" s="323"/>
      <c r="BU624" s="323"/>
      <c r="BV624" s="323"/>
      <c r="BW624" s="323"/>
      <c r="BX624" s="323"/>
      <c r="BY624" s="323"/>
      <c r="BZ624" s="323"/>
      <c r="CA624" s="323"/>
      <c r="CB624" s="323"/>
      <c r="CC624" s="323"/>
    </row>
    <row r="625" spans="23:81" x14ac:dyDescent="0.35">
      <c r="W625" s="305"/>
      <c r="X625" s="323"/>
      <c r="Y625" s="323"/>
      <c r="Z625" s="323"/>
      <c r="AA625" s="323"/>
      <c r="AB625" s="323"/>
      <c r="AC625" s="323"/>
      <c r="AD625" s="323"/>
      <c r="AE625" s="323"/>
      <c r="AF625" s="323"/>
      <c r="AG625" s="323"/>
      <c r="AH625" s="323"/>
      <c r="AI625" s="323"/>
      <c r="AJ625" s="323"/>
      <c r="AK625" s="323"/>
      <c r="AL625" s="323"/>
      <c r="AM625" s="323"/>
      <c r="AN625" s="457"/>
      <c r="AO625" s="457"/>
      <c r="AP625" s="457"/>
      <c r="AQ625" s="457"/>
      <c r="AR625" s="457"/>
      <c r="AS625" s="457"/>
      <c r="AT625" s="457"/>
      <c r="AU625" s="457"/>
      <c r="AV625" s="323"/>
      <c r="AW625" s="323"/>
      <c r="AX625" s="323"/>
      <c r="AY625" s="323"/>
      <c r="AZ625" s="323"/>
      <c r="BA625" s="323"/>
      <c r="BB625" s="323"/>
      <c r="BC625" s="323"/>
      <c r="BD625" s="323"/>
      <c r="BE625" s="323"/>
      <c r="BF625" s="323"/>
      <c r="BG625" s="323"/>
      <c r="BH625" s="323"/>
      <c r="BI625" s="323"/>
      <c r="BJ625" s="323"/>
      <c r="BK625" s="323"/>
      <c r="BL625" s="323"/>
      <c r="BM625" s="323"/>
      <c r="BN625" s="323"/>
      <c r="BO625" s="323"/>
      <c r="BP625" s="323"/>
      <c r="BQ625" s="323"/>
      <c r="BR625" s="323"/>
      <c r="BS625" s="323"/>
      <c r="BT625" s="323"/>
      <c r="BU625" s="323"/>
      <c r="BV625" s="323"/>
      <c r="BW625" s="323"/>
      <c r="BX625" s="323"/>
      <c r="BY625" s="323"/>
      <c r="BZ625" s="323"/>
      <c r="CA625" s="323"/>
      <c r="CB625" s="323"/>
      <c r="CC625" s="323"/>
    </row>
    <row r="626" spans="23:81" x14ac:dyDescent="0.35">
      <c r="W626" s="305"/>
      <c r="X626" s="323"/>
      <c r="Y626" s="323"/>
      <c r="Z626" s="323"/>
      <c r="AA626" s="323"/>
      <c r="AB626" s="323"/>
      <c r="AC626" s="323"/>
      <c r="AD626" s="323"/>
      <c r="AE626" s="323"/>
      <c r="AF626" s="323"/>
      <c r="AG626" s="323"/>
      <c r="AH626" s="323"/>
      <c r="AI626" s="323"/>
      <c r="AJ626" s="323"/>
      <c r="AK626" s="323"/>
      <c r="AL626" s="323"/>
      <c r="AM626" s="323"/>
      <c r="AN626" s="457"/>
      <c r="AO626" s="457"/>
      <c r="AP626" s="457"/>
      <c r="AQ626" s="457"/>
      <c r="AR626" s="457"/>
      <c r="AS626" s="457"/>
      <c r="AT626" s="457"/>
      <c r="AU626" s="457"/>
      <c r="AV626" s="323"/>
      <c r="AW626" s="323"/>
      <c r="AX626" s="323"/>
      <c r="AY626" s="323"/>
      <c r="AZ626" s="323"/>
      <c r="BA626" s="323"/>
      <c r="BB626" s="323"/>
      <c r="BC626" s="323"/>
      <c r="BD626" s="323"/>
      <c r="BE626" s="323"/>
      <c r="BF626" s="323"/>
      <c r="BG626" s="323"/>
      <c r="BH626" s="323"/>
      <c r="BI626" s="323"/>
      <c r="BJ626" s="323"/>
      <c r="BK626" s="323"/>
      <c r="BL626" s="323"/>
      <c r="BM626" s="323"/>
      <c r="BN626" s="323"/>
      <c r="BO626" s="323"/>
      <c r="BP626" s="323"/>
      <c r="BQ626" s="323"/>
      <c r="BR626" s="323"/>
      <c r="BS626" s="323"/>
      <c r="BT626" s="323"/>
      <c r="BU626" s="323"/>
      <c r="BV626" s="323"/>
      <c r="BW626" s="323"/>
      <c r="BX626" s="323"/>
      <c r="BY626" s="323"/>
      <c r="BZ626" s="323"/>
      <c r="CA626" s="323"/>
      <c r="CB626" s="323"/>
      <c r="CC626" s="323"/>
    </row>
    <row r="627" spans="23:81" x14ac:dyDescent="0.35">
      <c r="W627" s="305"/>
      <c r="X627" s="323"/>
      <c r="Y627" s="323"/>
      <c r="Z627" s="323"/>
      <c r="AA627" s="323"/>
      <c r="AB627" s="323"/>
      <c r="AC627" s="323"/>
      <c r="AD627" s="323"/>
      <c r="AE627" s="323"/>
      <c r="AF627" s="323"/>
      <c r="AG627" s="323"/>
      <c r="AH627" s="323"/>
      <c r="AI627" s="323"/>
      <c r="AJ627" s="323"/>
      <c r="AK627" s="323"/>
      <c r="AL627" s="323"/>
      <c r="AM627" s="323"/>
      <c r="AN627" s="457"/>
      <c r="AO627" s="457"/>
      <c r="AP627" s="457"/>
      <c r="AQ627" s="457"/>
      <c r="AR627" s="457"/>
      <c r="AS627" s="457"/>
      <c r="AT627" s="457"/>
      <c r="AU627" s="457"/>
      <c r="AV627" s="323"/>
      <c r="AW627" s="323"/>
      <c r="AX627" s="323"/>
      <c r="AY627" s="323"/>
      <c r="AZ627" s="323"/>
      <c r="BA627" s="323"/>
      <c r="BB627" s="323"/>
      <c r="BC627" s="323"/>
      <c r="BD627" s="323"/>
      <c r="BE627" s="323"/>
      <c r="BF627" s="323"/>
      <c r="BG627" s="323"/>
      <c r="BH627" s="323"/>
      <c r="BI627" s="323"/>
      <c r="BJ627" s="323"/>
      <c r="BK627" s="323"/>
      <c r="BL627" s="323"/>
      <c r="BM627" s="323"/>
      <c r="BN627" s="323"/>
      <c r="BO627" s="323"/>
      <c r="BP627" s="323"/>
      <c r="BQ627" s="323"/>
      <c r="BR627" s="323"/>
      <c r="BS627" s="323"/>
      <c r="BT627" s="323"/>
      <c r="BU627" s="323"/>
      <c r="BV627" s="323"/>
      <c r="BW627" s="323"/>
      <c r="BX627" s="323"/>
      <c r="BY627" s="323"/>
      <c r="BZ627" s="323"/>
      <c r="CA627" s="323"/>
      <c r="CB627" s="323"/>
      <c r="CC627" s="323"/>
    </row>
    <row r="628" spans="23:81" x14ac:dyDescent="0.35">
      <c r="W628" s="305"/>
      <c r="X628" s="323"/>
      <c r="Y628" s="323"/>
      <c r="Z628" s="323"/>
      <c r="AA628" s="323"/>
      <c r="AB628" s="323"/>
      <c r="AC628" s="323"/>
      <c r="AD628" s="323"/>
      <c r="AE628" s="323"/>
      <c r="AF628" s="323"/>
      <c r="AG628" s="323"/>
      <c r="AH628" s="323"/>
      <c r="AI628" s="323"/>
      <c r="AJ628" s="323"/>
      <c r="AK628" s="323"/>
      <c r="AL628" s="323"/>
      <c r="AM628" s="323"/>
      <c r="AN628" s="457"/>
      <c r="AO628" s="457"/>
      <c r="AP628" s="457"/>
      <c r="AQ628" s="457"/>
      <c r="AR628" s="457"/>
      <c r="AS628" s="457"/>
      <c r="AT628" s="457"/>
      <c r="AU628" s="457"/>
      <c r="AV628" s="323"/>
      <c r="AW628" s="323"/>
      <c r="AX628" s="323"/>
      <c r="AY628" s="323"/>
      <c r="AZ628" s="323"/>
      <c r="BA628" s="323"/>
      <c r="BB628" s="323"/>
      <c r="BC628" s="323"/>
      <c r="BD628" s="323"/>
      <c r="BE628" s="323"/>
      <c r="BF628" s="323"/>
      <c r="BG628" s="323"/>
      <c r="BH628" s="323"/>
      <c r="BI628" s="323"/>
      <c r="BJ628" s="323"/>
      <c r="BK628" s="323"/>
      <c r="BL628" s="323"/>
      <c r="BM628" s="323"/>
      <c r="BN628" s="323"/>
      <c r="BO628" s="323"/>
      <c r="BP628" s="323"/>
      <c r="BQ628" s="323"/>
      <c r="BR628" s="323"/>
      <c r="BS628" s="323"/>
      <c r="BT628" s="323"/>
      <c r="BU628" s="323"/>
      <c r="BV628" s="323"/>
      <c r="BW628" s="323"/>
      <c r="BX628" s="323"/>
      <c r="BY628" s="323"/>
      <c r="BZ628" s="323"/>
      <c r="CA628" s="323"/>
      <c r="CB628" s="323"/>
      <c r="CC628" s="323"/>
    </row>
    <row r="629" spans="23:81" x14ac:dyDescent="0.35">
      <c r="W629" s="305"/>
      <c r="X629" s="323"/>
      <c r="Y629" s="323"/>
      <c r="Z629" s="323"/>
      <c r="AA629" s="323"/>
      <c r="AB629" s="323"/>
      <c r="AC629" s="323"/>
      <c r="AD629" s="323"/>
      <c r="AE629" s="323"/>
      <c r="AF629" s="323"/>
      <c r="AG629" s="323"/>
      <c r="AH629" s="323"/>
      <c r="AI629" s="323"/>
      <c r="AJ629" s="323"/>
      <c r="AK629" s="323"/>
      <c r="AL629" s="323"/>
      <c r="AM629" s="323"/>
      <c r="AN629" s="457"/>
      <c r="AO629" s="457"/>
      <c r="AP629" s="457"/>
      <c r="AQ629" s="457"/>
      <c r="AR629" s="457"/>
      <c r="AS629" s="457"/>
      <c r="AT629" s="457"/>
      <c r="AU629" s="457"/>
      <c r="AV629" s="323"/>
      <c r="AW629" s="323"/>
      <c r="AX629" s="323"/>
      <c r="AY629" s="323"/>
      <c r="AZ629" s="323"/>
      <c r="BA629" s="323"/>
      <c r="BB629" s="323"/>
      <c r="BC629" s="323"/>
      <c r="BD629" s="323"/>
      <c r="BE629" s="323"/>
      <c r="BF629" s="323"/>
      <c r="BG629" s="323"/>
      <c r="BH629" s="323"/>
      <c r="BI629" s="323"/>
      <c r="BJ629" s="323"/>
      <c r="BK629" s="323"/>
      <c r="BL629" s="323"/>
      <c r="BM629" s="323"/>
      <c r="BN629" s="323"/>
      <c r="BO629" s="323"/>
      <c r="BP629" s="323"/>
      <c r="BQ629" s="323"/>
      <c r="BR629" s="323"/>
      <c r="BS629" s="323"/>
      <c r="BT629" s="323"/>
      <c r="BU629" s="323"/>
      <c r="BV629" s="323"/>
      <c r="BW629" s="323"/>
      <c r="BX629" s="323"/>
      <c r="BY629" s="323"/>
      <c r="BZ629" s="323"/>
      <c r="CA629" s="323"/>
      <c r="CB629" s="323"/>
      <c r="CC629" s="323"/>
    </row>
    <row r="630" spans="23:81" x14ac:dyDescent="0.35">
      <c r="W630" s="305"/>
      <c r="X630" s="323"/>
      <c r="Y630" s="323"/>
      <c r="Z630" s="323"/>
      <c r="AA630" s="323"/>
      <c r="AB630" s="323"/>
      <c r="AC630" s="323"/>
      <c r="AD630" s="323"/>
      <c r="AE630" s="323"/>
      <c r="AF630" s="323"/>
      <c r="AG630" s="323"/>
      <c r="AH630" s="323"/>
      <c r="AI630" s="323"/>
      <c r="AJ630" s="323"/>
      <c r="AK630" s="323"/>
      <c r="AL630" s="323"/>
      <c r="AM630" s="323"/>
      <c r="AN630" s="457"/>
      <c r="AO630" s="457"/>
      <c r="AP630" s="457"/>
      <c r="AQ630" s="457"/>
      <c r="AR630" s="457"/>
      <c r="AS630" s="457"/>
      <c r="AT630" s="457"/>
      <c r="AU630" s="457"/>
      <c r="AV630" s="323"/>
      <c r="AW630" s="323"/>
      <c r="AX630" s="323"/>
      <c r="AY630" s="323"/>
      <c r="AZ630" s="323"/>
      <c r="BA630" s="323"/>
      <c r="BB630" s="323"/>
      <c r="BC630" s="323"/>
      <c r="BD630" s="323"/>
      <c r="BE630" s="323"/>
      <c r="BF630" s="323"/>
      <c r="BG630" s="323"/>
      <c r="BH630" s="323"/>
      <c r="BI630" s="323"/>
      <c r="BJ630" s="323"/>
      <c r="BK630" s="323"/>
      <c r="BL630" s="323"/>
      <c r="BM630" s="323"/>
      <c r="BN630" s="323"/>
      <c r="BO630" s="323"/>
      <c r="BP630" s="323"/>
      <c r="BQ630" s="323"/>
      <c r="BR630" s="323"/>
      <c r="BS630" s="323"/>
      <c r="BT630" s="323"/>
      <c r="BU630" s="323"/>
      <c r="BV630" s="323"/>
      <c r="BW630" s="323"/>
      <c r="BX630" s="323"/>
      <c r="BY630" s="323"/>
      <c r="BZ630" s="323"/>
      <c r="CA630" s="323"/>
      <c r="CB630" s="323"/>
      <c r="CC630" s="323"/>
    </row>
    <row r="631" spans="23:81" x14ac:dyDescent="0.35">
      <c r="W631" s="305"/>
      <c r="X631" s="323"/>
      <c r="Y631" s="323"/>
      <c r="Z631" s="323"/>
      <c r="AA631" s="323"/>
      <c r="AB631" s="323"/>
      <c r="AC631" s="323"/>
      <c r="AD631" s="323"/>
      <c r="AE631" s="323"/>
      <c r="AF631" s="323"/>
      <c r="AG631" s="323"/>
      <c r="AH631" s="323"/>
      <c r="AI631" s="323"/>
      <c r="AJ631" s="323"/>
      <c r="AK631" s="323"/>
      <c r="AL631" s="323"/>
      <c r="AM631" s="323"/>
      <c r="AN631" s="457"/>
      <c r="AO631" s="457"/>
      <c r="AP631" s="457"/>
      <c r="AQ631" s="457"/>
      <c r="AR631" s="457"/>
      <c r="AS631" s="457"/>
      <c r="AT631" s="457"/>
      <c r="AU631" s="457"/>
      <c r="AV631" s="323"/>
      <c r="AW631" s="323"/>
      <c r="AX631" s="323"/>
      <c r="AY631" s="323"/>
      <c r="AZ631" s="323"/>
      <c r="BA631" s="323"/>
      <c r="BB631" s="323"/>
      <c r="BC631" s="323"/>
      <c r="BD631" s="323"/>
      <c r="BE631" s="323"/>
      <c r="BF631" s="323"/>
      <c r="BG631" s="323"/>
      <c r="BH631" s="323"/>
      <c r="BI631" s="323"/>
      <c r="BJ631" s="323"/>
      <c r="BK631" s="323"/>
      <c r="BL631" s="323"/>
      <c r="BM631" s="323"/>
      <c r="BN631" s="323"/>
      <c r="BO631" s="323"/>
      <c r="BP631" s="323"/>
      <c r="BQ631" s="323"/>
      <c r="BR631" s="323"/>
      <c r="BS631" s="323"/>
      <c r="BT631" s="323"/>
      <c r="BU631" s="323"/>
      <c r="BV631" s="323"/>
      <c r="BW631" s="323"/>
      <c r="BX631" s="323"/>
      <c r="BY631" s="323"/>
      <c r="BZ631" s="323"/>
      <c r="CA631" s="323"/>
      <c r="CB631" s="323"/>
      <c r="CC631" s="323"/>
    </row>
    <row r="632" spans="23:81" x14ac:dyDescent="0.35">
      <c r="W632" s="305"/>
      <c r="X632" s="323"/>
      <c r="Y632" s="323"/>
      <c r="Z632" s="323"/>
      <c r="AA632" s="323"/>
      <c r="AB632" s="323"/>
      <c r="AC632" s="323"/>
      <c r="AD632" s="323"/>
      <c r="AE632" s="323"/>
      <c r="AF632" s="323"/>
      <c r="AG632" s="323"/>
      <c r="AH632" s="323"/>
      <c r="AI632" s="323"/>
      <c r="AJ632" s="323"/>
      <c r="AK632" s="323"/>
      <c r="AL632" s="323"/>
      <c r="AM632" s="323"/>
      <c r="AN632" s="457"/>
      <c r="AO632" s="457"/>
      <c r="AP632" s="457"/>
      <c r="AQ632" s="457"/>
      <c r="AR632" s="457"/>
      <c r="AS632" s="457"/>
      <c r="AT632" s="457"/>
      <c r="AU632" s="457"/>
      <c r="AV632" s="323"/>
      <c r="AW632" s="323"/>
      <c r="AX632" s="323"/>
      <c r="AY632" s="323"/>
      <c r="AZ632" s="323"/>
      <c r="BA632" s="323"/>
      <c r="BB632" s="323"/>
      <c r="BC632" s="323"/>
      <c r="BD632" s="323"/>
      <c r="BE632" s="323"/>
      <c r="BF632" s="323"/>
      <c r="BG632" s="323"/>
      <c r="BH632" s="323"/>
      <c r="BI632" s="323"/>
      <c r="BJ632" s="323"/>
      <c r="BK632" s="323"/>
      <c r="BL632" s="323"/>
      <c r="BM632" s="323"/>
      <c r="BN632" s="323"/>
      <c r="BO632" s="323"/>
      <c r="BP632" s="323"/>
      <c r="BQ632" s="323"/>
      <c r="BR632" s="323"/>
      <c r="BS632" s="323"/>
      <c r="BT632" s="323"/>
      <c r="BU632" s="323"/>
      <c r="BV632" s="323"/>
      <c r="BW632" s="323"/>
      <c r="BX632" s="323"/>
      <c r="BY632" s="323"/>
      <c r="BZ632" s="323"/>
      <c r="CA632" s="323"/>
      <c r="CB632" s="323"/>
      <c r="CC632" s="323"/>
    </row>
    <row r="633" spans="23:81" x14ac:dyDescent="0.35">
      <c r="W633" s="305"/>
      <c r="X633" s="323"/>
      <c r="Y633" s="323"/>
      <c r="Z633" s="323"/>
      <c r="AA633" s="323"/>
      <c r="AB633" s="323"/>
      <c r="AC633" s="323"/>
      <c r="AD633" s="323"/>
      <c r="AE633" s="323"/>
      <c r="AF633" s="323"/>
      <c r="AG633" s="323"/>
      <c r="AH633" s="323"/>
      <c r="AI633" s="323"/>
      <c r="AJ633" s="323"/>
      <c r="AK633" s="323"/>
      <c r="AL633" s="323"/>
      <c r="AM633" s="323"/>
      <c r="AN633" s="457"/>
      <c r="AO633" s="457"/>
      <c r="AP633" s="457"/>
      <c r="AQ633" s="457"/>
      <c r="AR633" s="457"/>
      <c r="AS633" s="457"/>
      <c r="AT633" s="457"/>
      <c r="AU633" s="457"/>
      <c r="AV633" s="323"/>
      <c r="AW633" s="323"/>
      <c r="AX633" s="323"/>
      <c r="AY633" s="323"/>
      <c r="AZ633" s="323"/>
      <c r="BA633" s="323"/>
      <c r="BB633" s="323"/>
      <c r="BC633" s="323"/>
      <c r="BD633" s="323"/>
      <c r="BE633" s="323"/>
      <c r="BF633" s="323"/>
      <c r="BG633" s="323"/>
      <c r="BH633" s="323"/>
      <c r="BI633" s="323"/>
      <c r="BJ633" s="323"/>
      <c r="BK633" s="323"/>
      <c r="BL633" s="323"/>
      <c r="BM633" s="323"/>
      <c r="BN633" s="323"/>
      <c r="BO633" s="323"/>
      <c r="BP633" s="323"/>
      <c r="BQ633" s="323"/>
      <c r="BR633" s="323"/>
      <c r="BS633" s="323"/>
      <c r="BT633" s="323"/>
      <c r="BU633" s="323"/>
      <c r="BV633" s="323"/>
      <c r="BW633" s="323"/>
      <c r="BX633" s="323"/>
      <c r="BY633" s="323"/>
      <c r="BZ633" s="323"/>
      <c r="CA633" s="323"/>
      <c r="CB633" s="323"/>
      <c r="CC633" s="323"/>
    </row>
    <row r="634" spans="23:81" x14ac:dyDescent="0.35">
      <c r="W634" s="305"/>
      <c r="X634" s="323"/>
      <c r="Y634" s="323"/>
      <c r="Z634" s="323"/>
      <c r="AA634" s="323"/>
      <c r="AB634" s="323"/>
      <c r="AC634" s="323"/>
      <c r="AD634" s="323"/>
      <c r="AE634" s="323"/>
      <c r="AF634" s="323"/>
      <c r="AG634" s="323"/>
      <c r="AH634" s="323"/>
      <c r="AI634" s="323"/>
      <c r="AJ634" s="323"/>
      <c r="AK634" s="323"/>
      <c r="AL634" s="323"/>
      <c r="AM634" s="323"/>
      <c r="AN634" s="457"/>
      <c r="AO634" s="457"/>
      <c r="AP634" s="457"/>
      <c r="AQ634" s="457"/>
      <c r="AR634" s="457"/>
      <c r="AS634" s="457"/>
      <c r="AT634" s="457"/>
      <c r="AU634" s="457"/>
      <c r="AV634" s="323"/>
      <c r="AW634" s="323"/>
      <c r="AX634" s="323"/>
      <c r="AY634" s="323"/>
      <c r="AZ634" s="323"/>
      <c r="BA634" s="323"/>
      <c r="BB634" s="323"/>
      <c r="BC634" s="323"/>
      <c r="BD634" s="323"/>
      <c r="BE634" s="323"/>
      <c r="BF634" s="323"/>
      <c r="BG634" s="323"/>
      <c r="BH634" s="323"/>
      <c r="BI634" s="323"/>
      <c r="BJ634" s="323"/>
      <c r="BK634" s="323"/>
      <c r="BL634" s="323"/>
      <c r="BM634" s="323"/>
      <c r="BN634" s="323"/>
      <c r="BO634" s="323"/>
      <c r="BP634" s="323"/>
      <c r="BQ634" s="323"/>
      <c r="BR634" s="323"/>
      <c r="BS634" s="323"/>
      <c r="BT634" s="323"/>
      <c r="BU634" s="323"/>
      <c r="BV634" s="323"/>
      <c r="BW634" s="323"/>
      <c r="BX634" s="323"/>
      <c r="BY634" s="323"/>
      <c r="BZ634" s="323"/>
      <c r="CA634" s="323"/>
      <c r="CB634" s="323"/>
      <c r="CC634" s="323"/>
    </row>
    <row r="635" spans="23:81" x14ac:dyDescent="0.35">
      <c r="W635" s="305"/>
      <c r="X635" s="323"/>
      <c r="Y635" s="323"/>
      <c r="Z635" s="323"/>
      <c r="AA635" s="323"/>
      <c r="AB635" s="323"/>
      <c r="AC635" s="323"/>
      <c r="AD635" s="323"/>
      <c r="AE635" s="323"/>
      <c r="AF635" s="323"/>
      <c r="AG635" s="323"/>
      <c r="AH635" s="323"/>
      <c r="AI635" s="323"/>
      <c r="AJ635" s="323"/>
      <c r="AK635" s="323"/>
      <c r="AL635" s="323"/>
      <c r="AM635" s="323"/>
      <c r="AN635" s="457"/>
      <c r="AO635" s="457"/>
      <c r="AP635" s="457"/>
      <c r="AQ635" s="457"/>
      <c r="AR635" s="457"/>
      <c r="AS635" s="457"/>
      <c r="AT635" s="457"/>
      <c r="AU635" s="457"/>
      <c r="AV635" s="323"/>
      <c r="AW635" s="323"/>
      <c r="AX635" s="323"/>
      <c r="AY635" s="323"/>
      <c r="AZ635" s="323"/>
      <c r="BA635" s="323"/>
      <c r="BB635" s="323"/>
      <c r="BC635" s="323"/>
      <c r="BD635" s="323"/>
      <c r="BE635" s="323"/>
      <c r="BF635" s="323"/>
      <c r="BG635" s="323"/>
      <c r="BH635" s="323"/>
      <c r="BI635" s="323"/>
      <c r="BJ635" s="323"/>
      <c r="BK635" s="323"/>
      <c r="BL635" s="323"/>
      <c r="BM635" s="323"/>
      <c r="BN635" s="323"/>
      <c r="BO635" s="323"/>
      <c r="BP635" s="323"/>
      <c r="BQ635" s="323"/>
      <c r="BR635" s="323"/>
      <c r="BS635" s="323"/>
      <c r="BT635" s="323"/>
      <c r="BU635" s="323"/>
      <c r="BV635" s="323"/>
      <c r="BW635" s="323"/>
      <c r="BX635" s="323"/>
      <c r="BY635" s="323"/>
      <c r="BZ635" s="323"/>
      <c r="CA635" s="323"/>
      <c r="CB635" s="323"/>
      <c r="CC635" s="323"/>
    </row>
    <row r="636" spans="23:81" x14ac:dyDescent="0.35">
      <c r="W636" s="305"/>
      <c r="X636" s="323"/>
      <c r="Y636" s="323"/>
      <c r="Z636" s="323"/>
      <c r="AA636" s="323"/>
      <c r="AB636" s="323"/>
      <c r="AC636" s="323"/>
      <c r="AD636" s="323"/>
      <c r="AE636" s="323"/>
      <c r="AF636" s="323"/>
      <c r="AG636" s="323"/>
      <c r="AH636" s="323"/>
      <c r="AI636" s="323"/>
      <c r="AJ636" s="323"/>
      <c r="AK636" s="323"/>
      <c r="AL636" s="323"/>
      <c r="AM636" s="323"/>
      <c r="AN636" s="457"/>
      <c r="AO636" s="457"/>
      <c r="AP636" s="457"/>
      <c r="AQ636" s="457"/>
      <c r="AR636" s="457"/>
      <c r="AS636" s="457"/>
      <c r="AT636" s="457"/>
      <c r="AU636" s="457"/>
      <c r="AV636" s="323"/>
      <c r="AW636" s="323"/>
      <c r="AX636" s="323"/>
      <c r="AY636" s="323"/>
      <c r="AZ636" s="323"/>
      <c r="BA636" s="323"/>
      <c r="BB636" s="323"/>
      <c r="BC636" s="323"/>
      <c r="BD636" s="323"/>
      <c r="BE636" s="323"/>
      <c r="BF636" s="323"/>
      <c r="BG636" s="323"/>
      <c r="BH636" s="323"/>
      <c r="BI636" s="323"/>
      <c r="BJ636" s="323"/>
      <c r="BK636" s="323"/>
      <c r="BL636" s="323"/>
      <c r="BM636" s="323"/>
      <c r="BN636" s="323"/>
      <c r="BO636" s="323"/>
      <c r="BP636" s="323"/>
      <c r="BQ636" s="323"/>
      <c r="BR636" s="323"/>
      <c r="BS636" s="323"/>
      <c r="BT636" s="323"/>
      <c r="BU636" s="323"/>
      <c r="BV636" s="323"/>
      <c r="BW636" s="323"/>
      <c r="BX636" s="323"/>
      <c r="BY636" s="323"/>
      <c r="BZ636" s="323"/>
      <c r="CA636" s="323"/>
      <c r="CB636" s="323"/>
      <c r="CC636" s="323"/>
    </row>
    <row r="637" spans="23:81" x14ac:dyDescent="0.35">
      <c r="W637" s="305"/>
      <c r="X637" s="323"/>
      <c r="Y637" s="323"/>
      <c r="Z637" s="323"/>
      <c r="AA637" s="323"/>
      <c r="AB637" s="323"/>
      <c r="AC637" s="323"/>
      <c r="AD637" s="323"/>
      <c r="AE637" s="323"/>
      <c r="AF637" s="323"/>
      <c r="AG637" s="323"/>
      <c r="AH637" s="323"/>
      <c r="AI637" s="323"/>
      <c r="AJ637" s="323"/>
      <c r="AK637" s="323"/>
      <c r="AL637" s="323"/>
      <c r="AM637" s="323"/>
      <c r="AN637" s="457"/>
      <c r="AO637" s="457"/>
      <c r="AP637" s="457"/>
      <c r="AQ637" s="457"/>
      <c r="AR637" s="457"/>
      <c r="AS637" s="457"/>
      <c r="AT637" s="457"/>
      <c r="AU637" s="457"/>
      <c r="AV637" s="323"/>
      <c r="AW637" s="323"/>
      <c r="AX637" s="323"/>
      <c r="AY637" s="323"/>
      <c r="AZ637" s="323"/>
      <c r="BA637" s="323"/>
      <c r="BB637" s="323"/>
      <c r="BC637" s="323"/>
      <c r="BD637" s="323"/>
      <c r="BE637" s="323"/>
      <c r="BF637" s="323"/>
      <c r="BG637" s="323"/>
      <c r="BH637" s="323"/>
      <c r="BI637" s="323"/>
      <c r="BJ637" s="323"/>
      <c r="BK637" s="323"/>
      <c r="BL637" s="323"/>
      <c r="BM637" s="323"/>
      <c r="BN637" s="323"/>
      <c r="BO637" s="323"/>
      <c r="BP637" s="323"/>
      <c r="BQ637" s="323"/>
      <c r="BR637" s="323"/>
      <c r="BS637" s="323"/>
      <c r="BT637" s="323"/>
      <c r="BU637" s="323"/>
      <c r="BV637" s="323"/>
      <c r="BW637" s="323"/>
      <c r="BX637" s="323"/>
      <c r="BY637" s="323"/>
      <c r="BZ637" s="323"/>
      <c r="CA637" s="323"/>
      <c r="CB637" s="323"/>
      <c r="CC637" s="323"/>
    </row>
    <row r="638" spans="23:81" x14ac:dyDescent="0.35">
      <c r="W638" s="305"/>
      <c r="X638" s="323"/>
      <c r="Y638" s="323"/>
      <c r="Z638" s="323"/>
      <c r="AA638" s="323"/>
      <c r="AB638" s="323"/>
      <c r="AC638" s="323"/>
      <c r="AD638" s="323"/>
      <c r="AE638" s="323"/>
      <c r="AF638" s="323"/>
      <c r="AG638" s="323"/>
      <c r="AH638" s="323"/>
      <c r="AI638" s="323"/>
      <c r="AJ638" s="323"/>
      <c r="AK638" s="323"/>
      <c r="AL638" s="323"/>
      <c r="AM638" s="323"/>
      <c r="AN638" s="457"/>
      <c r="AO638" s="457"/>
      <c r="AP638" s="457"/>
      <c r="AQ638" s="457"/>
      <c r="AR638" s="457"/>
      <c r="AS638" s="457"/>
      <c r="AT638" s="457"/>
      <c r="AU638" s="457"/>
      <c r="AV638" s="323"/>
      <c r="AW638" s="323"/>
      <c r="AX638" s="323"/>
      <c r="AY638" s="323"/>
      <c r="AZ638" s="323"/>
      <c r="BA638" s="323"/>
      <c r="BB638" s="323"/>
      <c r="BC638" s="323"/>
      <c r="BD638" s="323"/>
      <c r="BE638" s="323"/>
      <c r="BF638" s="323"/>
      <c r="BG638" s="323"/>
      <c r="BH638" s="323"/>
      <c r="BI638" s="323"/>
      <c r="BJ638" s="323"/>
      <c r="BK638" s="323"/>
      <c r="BL638" s="323"/>
      <c r="BM638" s="323"/>
      <c r="BN638" s="323"/>
      <c r="BO638" s="323"/>
      <c r="BP638" s="323"/>
      <c r="BQ638" s="323"/>
      <c r="BR638" s="323"/>
      <c r="BS638" s="323"/>
      <c r="BT638" s="323"/>
      <c r="BU638" s="323"/>
      <c r="BV638" s="323"/>
      <c r="BW638" s="323"/>
      <c r="BX638" s="323"/>
      <c r="BY638" s="323"/>
      <c r="BZ638" s="323"/>
      <c r="CA638" s="323"/>
      <c r="CB638" s="323"/>
      <c r="CC638" s="323"/>
    </row>
    <row r="639" spans="23:81" x14ac:dyDescent="0.35">
      <c r="W639" s="305"/>
      <c r="X639" s="323"/>
      <c r="Y639" s="323"/>
      <c r="Z639" s="323"/>
      <c r="AA639" s="323"/>
      <c r="AB639" s="323"/>
      <c r="AC639" s="323"/>
      <c r="AD639" s="323"/>
      <c r="AE639" s="323"/>
      <c r="AF639" s="323"/>
      <c r="AG639" s="323"/>
      <c r="AH639" s="323"/>
      <c r="AI639" s="323"/>
      <c r="AJ639" s="323"/>
      <c r="AK639" s="323"/>
      <c r="AL639" s="323"/>
      <c r="AM639" s="323"/>
      <c r="AN639" s="457"/>
      <c r="AO639" s="457"/>
      <c r="AP639" s="457"/>
      <c r="AQ639" s="457"/>
      <c r="AR639" s="457"/>
      <c r="AS639" s="457"/>
      <c r="AT639" s="457"/>
      <c r="AU639" s="457"/>
      <c r="AV639" s="323"/>
      <c r="AW639" s="323"/>
      <c r="AX639" s="323"/>
      <c r="AY639" s="323"/>
      <c r="AZ639" s="323"/>
      <c r="BA639" s="323"/>
      <c r="BB639" s="323"/>
      <c r="BC639" s="323"/>
      <c r="BD639" s="323"/>
      <c r="BE639" s="323"/>
      <c r="BF639" s="323"/>
      <c r="BG639" s="323"/>
      <c r="BH639" s="323"/>
      <c r="BI639" s="323"/>
      <c r="BJ639" s="323"/>
      <c r="BK639" s="323"/>
      <c r="BL639" s="323"/>
      <c r="BM639" s="323"/>
      <c r="BN639" s="323"/>
      <c r="BO639" s="323"/>
      <c r="BP639" s="323"/>
      <c r="BQ639" s="323"/>
      <c r="BR639" s="323"/>
      <c r="BS639" s="323"/>
      <c r="BT639" s="323"/>
      <c r="BU639" s="323"/>
      <c r="BV639" s="323"/>
      <c r="BW639" s="323"/>
      <c r="BX639" s="323"/>
      <c r="BY639" s="323"/>
      <c r="BZ639" s="323"/>
      <c r="CA639" s="323"/>
      <c r="CB639" s="323"/>
      <c r="CC639" s="323"/>
    </row>
    <row r="640" spans="23:81" x14ac:dyDescent="0.35">
      <c r="W640" s="305"/>
      <c r="X640" s="323"/>
      <c r="Y640" s="323"/>
      <c r="Z640" s="323"/>
      <c r="AA640" s="323"/>
      <c r="AB640" s="323"/>
      <c r="AC640" s="323"/>
      <c r="AD640" s="323"/>
      <c r="AE640" s="323"/>
      <c r="AF640" s="323"/>
      <c r="AG640" s="323"/>
      <c r="AH640" s="323"/>
      <c r="AI640" s="323"/>
      <c r="AJ640" s="323"/>
      <c r="AK640" s="323"/>
      <c r="AL640" s="323"/>
      <c r="AM640" s="323"/>
      <c r="AN640" s="457"/>
      <c r="AO640" s="457"/>
      <c r="AP640" s="457"/>
      <c r="AQ640" s="457"/>
      <c r="AR640" s="457"/>
      <c r="AS640" s="457"/>
      <c r="AT640" s="457"/>
      <c r="AU640" s="457"/>
      <c r="AV640" s="323"/>
      <c r="AW640" s="323"/>
      <c r="AX640" s="323"/>
      <c r="AY640" s="323"/>
      <c r="AZ640" s="323"/>
      <c r="BA640" s="323"/>
      <c r="BB640" s="323"/>
      <c r="BC640" s="323"/>
      <c r="BD640" s="323"/>
      <c r="BE640" s="323"/>
      <c r="BF640" s="323"/>
      <c r="BG640" s="323"/>
      <c r="BH640" s="323"/>
      <c r="BI640" s="323"/>
      <c r="BJ640" s="323"/>
      <c r="BK640" s="323"/>
      <c r="BL640" s="323"/>
      <c r="BM640" s="323"/>
      <c r="BN640" s="323"/>
      <c r="BO640" s="323"/>
      <c r="BP640" s="323"/>
      <c r="BQ640" s="323"/>
      <c r="BR640" s="323"/>
      <c r="BS640" s="323"/>
      <c r="BT640" s="323"/>
      <c r="BU640" s="323"/>
      <c r="BV640" s="323"/>
      <c r="BW640" s="323"/>
      <c r="BX640" s="323"/>
      <c r="BY640" s="323"/>
      <c r="BZ640" s="323"/>
      <c r="CA640" s="323"/>
      <c r="CB640" s="323"/>
      <c r="CC640" s="323"/>
    </row>
    <row r="641" spans="23:81" x14ac:dyDescent="0.35">
      <c r="W641" s="305"/>
      <c r="X641" s="323"/>
      <c r="Y641" s="323"/>
      <c r="Z641" s="323"/>
      <c r="AA641" s="323"/>
      <c r="AB641" s="323"/>
      <c r="AC641" s="323"/>
      <c r="AD641" s="323"/>
      <c r="AE641" s="323"/>
      <c r="AF641" s="323"/>
      <c r="AG641" s="323"/>
      <c r="AH641" s="323"/>
      <c r="AI641" s="323"/>
      <c r="AJ641" s="323"/>
      <c r="AK641" s="323"/>
      <c r="AL641" s="323"/>
      <c r="AM641" s="323"/>
      <c r="AN641" s="457"/>
      <c r="AO641" s="457"/>
      <c r="AP641" s="457"/>
      <c r="AQ641" s="457"/>
      <c r="AR641" s="457"/>
      <c r="AS641" s="457"/>
      <c r="AT641" s="457"/>
      <c r="AU641" s="457"/>
      <c r="AV641" s="323"/>
      <c r="AW641" s="323"/>
      <c r="AX641" s="323"/>
      <c r="AY641" s="323"/>
      <c r="AZ641" s="323"/>
      <c r="BA641" s="323"/>
      <c r="BB641" s="323"/>
      <c r="BC641" s="323"/>
      <c r="BD641" s="323"/>
      <c r="BE641" s="323"/>
      <c r="BF641" s="323"/>
      <c r="BG641" s="323"/>
      <c r="BH641" s="323"/>
      <c r="BI641" s="323"/>
      <c r="BJ641" s="323"/>
      <c r="BK641" s="323"/>
      <c r="BL641" s="323"/>
      <c r="BM641" s="323"/>
      <c r="BN641" s="323"/>
      <c r="BO641" s="323"/>
      <c r="BP641" s="323"/>
      <c r="BQ641" s="323"/>
      <c r="BR641" s="323"/>
      <c r="BS641" s="323"/>
      <c r="BT641" s="323"/>
      <c r="BU641" s="323"/>
      <c r="BV641" s="323"/>
      <c r="BW641" s="323"/>
      <c r="BX641" s="323"/>
      <c r="BY641" s="323"/>
      <c r="BZ641" s="323"/>
      <c r="CA641" s="323"/>
      <c r="CB641" s="323"/>
      <c r="CC641" s="323"/>
    </row>
    <row r="642" spans="23:81" x14ac:dyDescent="0.35">
      <c r="W642" s="305"/>
      <c r="X642" s="323"/>
      <c r="Y642" s="323"/>
      <c r="Z642" s="323"/>
      <c r="AA642" s="323"/>
      <c r="AB642" s="323"/>
      <c r="AC642" s="323"/>
      <c r="AD642" s="323"/>
      <c r="AE642" s="323"/>
      <c r="AF642" s="323"/>
      <c r="AG642" s="323"/>
      <c r="AH642" s="323"/>
      <c r="AI642" s="323"/>
      <c r="AJ642" s="323"/>
      <c r="AK642" s="323"/>
      <c r="AL642" s="323"/>
      <c r="AM642" s="323"/>
      <c r="AN642" s="457"/>
      <c r="AO642" s="457"/>
      <c r="AP642" s="457"/>
      <c r="AQ642" s="457"/>
      <c r="AR642" s="457"/>
      <c r="AS642" s="457"/>
      <c r="AT642" s="457"/>
      <c r="AU642" s="457"/>
      <c r="AV642" s="323"/>
      <c r="AW642" s="323"/>
      <c r="AX642" s="323"/>
      <c r="AY642" s="323"/>
      <c r="AZ642" s="323"/>
      <c r="BA642" s="323"/>
      <c r="BB642" s="323"/>
      <c r="BC642" s="323"/>
      <c r="BD642" s="323"/>
      <c r="BE642" s="323"/>
      <c r="BF642" s="323"/>
      <c r="BG642" s="323"/>
      <c r="BH642" s="323"/>
      <c r="BI642" s="323"/>
      <c r="BJ642" s="323"/>
      <c r="BK642" s="323"/>
      <c r="BL642" s="323"/>
      <c r="BM642" s="323"/>
      <c r="BN642" s="323"/>
      <c r="BO642" s="323"/>
      <c r="BP642" s="323"/>
      <c r="BQ642" s="323"/>
      <c r="BR642" s="323"/>
      <c r="BS642" s="323"/>
      <c r="BT642" s="323"/>
      <c r="BU642" s="323"/>
      <c r="BV642" s="323"/>
      <c r="BW642" s="323"/>
      <c r="BX642" s="323"/>
      <c r="BY642" s="323"/>
      <c r="BZ642" s="323"/>
      <c r="CA642" s="323"/>
      <c r="CB642" s="323"/>
      <c r="CC642" s="323"/>
    </row>
    <row r="643" spans="23:81" x14ac:dyDescent="0.35">
      <c r="W643" s="305"/>
      <c r="X643" s="323"/>
      <c r="Y643" s="323"/>
      <c r="Z643" s="323"/>
      <c r="AA643" s="323"/>
      <c r="AB643" s="323"/>
      <c r="AC643" s="323"/>
      <c r="AD643" s="323"/>
      <c r="AE643" s="323"/>
      <c r="AF643" s="323"/>
      <c r="AG643" s="323"/>
      <c r="AH643" s="323"/>
      <c r="AI643" s="323"/>
      <c r="AJ643" s="323"/>
      <c r="AK643" s="323"/>
      <c r="AL643" s="323"/>
      <c r="AM643" s="323"/>
      <c r="AN643" s="457"/>
      <c r="AO643" s="457"/>
      <c r="AP643" s="457"/>
      <c r="AQ643" s="457"/>
      <c r="AR643" s="457"/>
      <c r="AS643" s="457"/>
      <c r="AT643" s="457"/>
      <c r="AU643" s="457"/>
      <c r="AV643" s="323"/>
      <c r="AW643" s="323"/>
      <c r="AX643" s="323"/>
      <c r="AY643" s="323"/>
      <c r="AZ643" s="323"/>
      <c r="BA643" s="323"/>
      <c r="BB643" s="323"/>
      <c r="BC643" s="323"/>
      <c r="BD643" s="323"/>
      <c r="BE643" s="323"/>
      <c r="BF643" s="323"/>
      <c r="BG643" s="323"/>
      <c r="BH643" s="323"/>
      <c r="BI643" s="323"/>
      <c r="BJ643" s="323"/>
      <c r="BK643" s="323"/>
      <c r="BL643" s="323"/>
      <c r="BM643" s="323"/>
      <c r="BN643" s="323"/>
      <c r="BO643" s="323"/>
      <c r="BP643" s="323"/>
      <c r="BQ643" s="323"/>
      <c r="BR643" s="323"/>
      <c r="BS643" s="323"/>
      <c r="BT643" s="323"/>
      <c r="BU643" s="323"/>
      <c r="BV643" s="323"/>
      <c r="BW643" s="323"/>
      <c r="BX643" s="323"/>
      <c r="BY643" s="323"/>
      <c r="BZ643" s="323"/>
      <c r="CA643" s="323"/>
      <c r="CB643" s="323"/>
      <c r="CC643" s="323"/>
    </row>
    <row r="644" spans="23:81" x14ac:dyDescent="0.35">
      <c r="W644" s="305"/>
      <c r="X644" s="323"/>
      <c r="Y644" s="323"/>
      <c r="Z644" s="323"/>
      <c r="AA644" s="323"/>
      <c r="AB644" s="323"/>
      <c r="AC644" s="323"/>
      <c r="AD644" s="323"/>
      <c r="AE644" s="323"/>
      <c r="AF644" s="323"/>
      <c r="AG644" s="323"/>
      <c r="AH644" s="323"/>
      <c r="AI644" s="323"/>
      <c r="AJ644" s="323"/>
      <c r="AK644" s="323"/>
      <c r="AL644" s="323"/>
      <c r="AM644" s="323"/>
      <c r="AN644" s="457"/>
      <c r="AO644" s="457"/>
      <c r="AP644" s="457"/>
      <c r="AQ644" s="457"/>
      <c r="AR644" s="457"/>
      <c r="AS644" s="457"/>
      <c r="AT644" s="457"/>
      <c r="AU644" s="457"/>
      <c r="AV644" s="323"/>
      <c r="AW644" s="323"/>
      <c r="AX644" s="323"/>
      <c r="AY644" s="323"/>
      <c r="AZ644" s="323"/>
      <c r="BA644" s="323"/>
      <c r="BB644" s="323"/>
      <c r="BC644" s="323"/>
      <c r="BD644" s="323"/>
      <c r="BE644" s="323"/>
      <c r="BF644" s="323"/>
      <c r="BG644" s="323"/>
      <c r="BH644" s="323"/>
      <c r="BI644" s="323"/>
      <c r="BJ644" s="323"/>
      <c r="BK644" s="323"/>
      <c r="BL644" s="323"/>
      <c r="BM644" s="323"/>
      <c r="BN644" s="323"/>
      <c r="BO644" s="323"/>
      <c r="BP644" s="323"/>
      <c r="BQ644" s="323"/>
      <c r="BR644" s="323"/>
      <c r="BS644" s="323"/>
      <c r="BT644" s="323"/>
      <c r="BU644" s="323"/>
      <c r="BV644" s="323"/>
      <c r="BW644" s="323"/>
      <c r="BX644" s="323"/>
      <c r="BY644" s="323"/>
      <c r="BZ644" s="323"/>
      <c r="CA644" s="323"/>
      <c r="CB644" s="323"/>
      <c r="CC644" s="323"/>
    </row>
    <row r="645" spans="23:81" x14ac:dyDescent="0.35">
      <c r="W645" s="305"/>
      <c r="X645" s="323"/>
      <c r="Y645" s="323"/>
      <c r="Z645" s="323"/>
      <c r="AA645" s="323"/>
      <c r="AB645" s="323"/>
      <c r="AC645" s="323"/>
      <c r="AD645" s="323"/>
      <c r="AE645" s="323"/>
      <c r="AF645" s="323"/>
      <c r="AG645" s="323"/>
      <c r="AH645" s="323"/>
      <c r="AI645" s="323"/>
      <c r="AJ645" s="323"/>
      <c r="AK645" s="323"/>
      <c r="AL645" s="323"/>
      <c r="AM645" s="323"/>
      <c r="AN645" s="457"/>
      <c r="AO645" s="457"/>
      <c r="AP645" s="457"/>
      <c r="AQ645" s="457"/>
      <c r="AR645" s="457"/>
      <c r="AS645" s="457"/>
      <c r="AT645" s="457"/>
      <c r="AU645" s="457"/>
      <c r="AV645" s="323"/>
      <c r="AW645" s="323"/>
      <c r="AX645" s="323"/>
      <c r="AY645" s="323"/>
      <c r="AZ645" s="323"/>
      <c r="BA645" s="323"/>
      <c r="BB645" s="323"/>
      <c r="BC645" s="323"/>
      <c r="BD645" s="323"/>
      <c r="BE645" s="323"/>
      <c r="BF645" s="323"/>
      <c r="BG645" s="323"/>
      <c r="BH645" s="323"/>
      <c r="BI645" s="323"/>
      <c r="BJ645" s="323"/>
      <c r="BK645" s="323"/>
      <c r="BL645" s="323"/>
      <c r="BM645" s="323"/>
      <c r="BN645" s="323"/>
      <c r="BO645" s="323"/>
      <c r="BP645" s="323"/>
      <c r="BQ645" s="323"/>
      <c r="BR645" s="323"/>
      <c r="BS645" s="323"/>
      <c r="BT645" s="323"/>
      <c r="BU645" s="323"/>
      <c r="BV645" s="323"/>
      <c r="BW645" s="323"/>
      <c r="BX645" s="323"/>
      <c r="BY645" s="323"/>
      <c r="BZ645" s="323"/>
      <c r="CA645" s="323"/>
      <c r="CB645" s="323"/>
      <c r="CC645" s="323"/>
    </row>
    <row r="646" spans="23:81" x14ac:dyDescent="0.35">
      <c r="W646" s="305"/>
      <c r="X646" s="323"/>
      <c r="Y646" s="323"/>
      <c r="Z646" s="323"/>
      <c r="AA646" s="323"/>
      <c r="AB646" s="323"/>
      <c r="AC646" s="323"/>
      <c r="AD646" s="323"/>
      <c r="AE646" s="323"/>
      <c r="AF646" s="323"/>
      <c r="AG646" s="323"/>
      <c r="AH646" s="323"/>
      <c r="AI646" s="323"/>
      <c r="AJ646" s="323"/>
      <c r="AK646" s="323"/>
      <c r="AL646" s="323"/>
      <c r="AM646" s="323"/>
      <c r="AN646" s="457"/>
      <c r="AO646" s="457"/>
      <c r="AP646" s="457"/>
      <c r="AQ646" s="457"/>
      <c r="AR646" s="457"/>
      <c r="AS646" s="457"/>
      <c r="AT646" s="457"/>
      <c r="AU646" s="457"/>
      <c r="AV646" s="323"/>
      <c r="AW646" s="323"/>
      <c r="AX646" s="323"/>
      <c r="AY646" s="323"/>
      <c r="AZ646" s="323"/>
      <c r="BA646" s="323"/>
      <c r="BB646" s="323"/>
      <c r="BC646" s="323"/>
      <c r="BD646" s="323"/>
      <c r="BE646" s="323"/>
      <c r="BF646" s="323"/>
      <c r="BG646" s="323"/>
      <c r="BH646" s="323"/>
      <c r="BI646" s="323"/>
      <c r="BJ646" s="323"/>
      <c r="BK646" s="323"/>
      <c r="BL646" s="323"/>
      <c r="BM646" s="323"/>
      <c r="BN646" s="323"/>
      <c r="BO646" s="323"/>
      <c r="BP646" s="323"/>
      <c r="BQ646" s="323"/>
      <c r="BR646" s="323"/>
      <c r="BS646" s="323"/>
      <c r="BT646" s="323"/>
      <c r="BU646" s="323"/>
      <c r="BV646" s="323"/>
      <c r="BW646" s="323"/>
      <c r="BX646" s="323"/>
      <c r="BY646" s="323"/>
      <c r="BZ646" s="323"/>
      <c r="CA646" s="323"/>
      <c r="CB646" s="323"/>
      <c r="CC646" s="323"/>
    </row>
    <row r="647" spans="23:81" x14ac:dyDescent="0.35">
      <c r="W647" s="305"/>
      <c r="X647" s="323"/>
      <c r="Y647" s="323"/>
      <c r="Z647" s="323"/>
      <c r="AA647" s="323"/>
      <c r="AB647" s="323"/>
      <c r="AC647" s="323"/>
      <c r="AD647" s="323"/>
      <c r="AE647" s="323"/>
      <c r="AF647" s="323"/>
      <c r="AG647" s="323"/>
      <c r="AH647" s="323"/>
      <c r="AI647" s="323"/>
      <c r="AJ647" s="323"/>
      <c r="AK647" s="323"/>
      <c r="AL647" s="323"/>
      <c r="AM647" s="323"/>
      <c r="AN647" s="457"/>
      <c r="AO647" s="457"/>
      <c r="AP647" s="457"/>
      <c r="AQ647" s="457"/>
      <c r="AR647" s="457"/>
      <c r="AS647" s="457"/>
      <c r="AT647" s="457"/>
      <c r="AU647" s="457"/>
      <c r="AV647" s="323"/>
      <c r="AW647" s="323"/>
      <c r="AX647" s="323"/>
      <c r="AY647" s="323"/>
      <c r="AZ647" s="323"/>
      <c r="BA647" s="323"/>
      <c r="BB647" s="323"/>
      <c r="BC647" s="323"/>
      <c r="BD647" s="323"/>
      <c r="BE647" s="323"/>
      <c r="BF647" s="323"/>
      <c r="BG647" s="323"/>
      <c r="BH647" s="323"/>
      <c r="BI647" s="323"/>
      <c r="BJ647" s="323"/>
      <c r="BK647" s="323"/>
      <c r="BL647" s="323"/>
      <c r="BM647" s="323"/>
      <c r="BN647" s="323"/>
      <c r="BO647" s="323"/>
      <c r="BP647" s="323"/>
      <c r="BQ647" s="323"/>
      <c r="BR647" s="323"/>
      <c r="BS647" s="323"/>
      <c r="BT647" s="323"/>
      <c r="BU647" s="323"/>
      <c r="BV647" s="323"/>
      <c r="BW647" s="323"/>
      <c r="BX647" s="323"/>
      <c r="BY647" s="323"/>
      <c r="BZ647" s="323"/>
      <c r="CA647" s="323"/>
      <c r="CB647" s="323"/>
      <c r="CC647" s="323"/>
    </row>
    <row r="648" spans="23:81" x14ac:dyDescent="0.35">
      <c r="W648" s="305"/>
      <c r="X648" s="323"/>
      <c r="Y648" s="323"/>
      <c r="Z648" s="323"/>
      <c r="AA648" s="323"/>
      <c r="AB648" s="323"/>
      <c r="AC648" s="323"/>
      <c r="AD648" s="323"/>
      <c r="AE648" s="323"/>
      <c r="AF648" s="323"/>
      <c r="AG648" s="323"/>
      <c r="AH648" s="323"/>
      <c r="AI648" s="323"/>
      <c r="AJ648" s="323"/>
      <c r="AK648" s="323"/>
      <c r="AL648" s="323"/>
      <c r="AM648" s="323"/>
      <c r="AN648" s="457"/>
      <c r="AO648" s="457"/>
      <c r="AP648" s="457"/>
      <c r="AQ648" s="457"/>
      <c r="AR648" s="457"/>
      <c r="AS648" s="457"/>
      <c r="AT648" s="457"/>
      <c r="AU648" s="457"/>
      <c r="AV648" s="323"/>
      <c r="AW648" s="323"/>
      <c r="AX648" s="323"/>
      <c r="AY648" s="323"/>
      <c r="AZ648" s="323"/>
      <c r="BA648" s="323"/>
      <c r="BB648" s="323"/>
      <c r="BC648" s="323"/>
      <c r="BD648" s="323"/>
      <c r="BE648" s="323"/>
      <c r="BF648" s="323"/>
      <c r="BG648" s="323"/>
      <c r="BH648" s="323"/>
      <c r="BI648" s="323"/>
      <c r="BJ648" s="323"/>
      <c r="BK648" s="323"/>
      <c r="BL648" s="323"/>
      <c r="BM648" s="323"/>
      <c r="BN648" s="323"/>
      <c r="BO648" s="323"/>
      <c r="BP648" s="323"/>
      <c r="BQ648" s="323"/>
      <c r="BR648" s="323"/>
      <c r="BS648" s="323"/>
      <c r="BT648" s="323"/>
      <c r="BU648" s="323"/>
      <c r="BV648" s="323"/>
      <c r="BW648" s="323"/>
      <c r="BX648" s="323"/>
      <c r="BY648" s="323"/>
      <c r="BZ648" s="323"/>
      <c r="CA648" s="323"/>
      <c r="CB648" s="323"/>
      <c r="CC648" s="323"/>
    </row>
    <row r="649" spans="23:81" x14ac:dyDescent="0.35">
      <c r="W649" s="305"/>
      <c r="X649" s="323"/>
      <c r="Y649" s="323"/>
      <c r="Z649" s="323"/>
      <c r="AA649" s="323"/>
      <c r="AB649" s="323"/>
      <c r="AC649" s="323"/>
      <c r="AD649" s="323"/>
      <c r="AE649" s="323"/>
      <c r="AF649" s="323"/>
      <c r="AG649" s="323"/>
      <c r="AH649" s="323"/>
      <c r="AI649" s="323"/>
      <c r="AJ649" s="323"/>
      <c r="AK649" s="323"/>
      <c r="AL649" s="323"/>
      <c r="AM649" s="323"/>
      <c r="AN649" s="457"/>
      <c r="AO649" s="457"/>
      <c r="AP649" s="457"/>
      <c r="AQ649" s="457"/>
      <c r="AR649" s="457"/>
      <c r="AS649" s="457"/>
      <c r="AT649" s="457"/>
      <c r="AU649" s="457"/>
      <c r="AV649" s="323"/>
      <c r="AW649" s="323"/>
      <c r="AX649" s="323"/>
      <c r="AY649" s="323"/>
      <c r="AZ649" s="323"/>
      <c r="BA649" s="323"/>
      <c r="BB649" s="323"/>
      <c r="BC649" s="323"/>
      <c r="BD649" s="323"/>
      <c r="BE649" s="323"/>
      <c r="BF649" s="323"/>
      <c r="BG649" s="323"/>
      <c r="BH649" s="323"/>
      <c r="BI649" s="323"/>
      <c r="BJ649" s="323"/>
      <c r="BK649" s="323"/>
      <c r="BL649" s="323"/>
      <c r="BM649" s="323"/>
      <c r="BN649" s="323"/>
      <c r="BO649" s="323"/>
      <c r="BP649" s="323"/>
      <c r="BQ649" s="323"/>
      <c r="BR649" s="323"/>
      <c r="BS649" s="323"/>
      <c r="BT649" s="323"/>
      <c r="BU649" s="323"/>
      <c r="BV649" s="323"/>
      <c r="BW649" s="323"/>
      <c r="BX649" s="323"/>
      <c r="BY649" s="323"/>
      <c r="BZ649" s="323"/>
      <c r="CA649" s="323"/>
      <c r="CB649" s="323"/>
      <c r="CC649" s="323"/>
    </row>
    <row r="650" spans="23:81" x14ac:dyDescent="0.35">
      <c r="W650" s="305"/>
      <c r="X650" s="323"/>
      <c r="Y650" s="323"/>
      <c r="Z650" s="323"/>
      <c r="AA650" s="323"/>
      <c r="AB650" s="323"/>
      <c r="AC650" s="323"/>
      <c r="AD650" s="323"/>
      <c r="AE650" s="323"/>
      <c r="AF650" s="323"/>
      <c r="AG650" s="323"/>
      <c r="AH650" s="323"/>
      <c r="AI650" s="323"/>
      <c r="AJ650" s="323"/>
      <c r="AK650" s="323"/>
      <c r="AL650" s="323"/>
      <c r="AM650" s="323"/>
      <c r="AN650" s="457"/>
      <c r="AO650" s="457"/>
      <c r="AP650" s="457"/>
      <c r="AQ650" s="457"/>
      <c r="AR650" s="457"/>
      <c r="AS650" s="457"/>
      <c r="AT650" s="457"/>
      <c r="AU650" s="457"/>
      <c r="AV650" s="323"/>
      <c r="AW650" s="323"/>
      <c r="AX650" s="323"/>
      <c r="AY650" s="323"/>
      <c r="AZ650" s="323"/>
      <c r="BA650" s="323"/>
      <c r="BB650" s="323"/>
      <c r="BC650" s="323"/>
      <c r="BD650" s="323"/>
      <c r="BE650" s="323"/>
      <c r="BF650" s="323"/>
      <c r="BG650" s="323"/>
      <c r="BH650" s="323"/>
      <c r="BI650" s="323"/>
      <c r="BJ650" s="323"/>
      <c r="BK650" s="323"/>
      <c r="BL650" s="323"/>
      <c r="BM650" s="323"/>
      <c r="BN650" s="323"/>
      <c r="BO650" s="323"/>
      <c r="BP650" s="323"/>
      <c r="BQ650" s="323"/>
      <c r="BR650" s="323"/>
      <c r="BS650" s="323"/>
      <c r="BT650" s="323"/>
      <c r="BU650" s="323"/>
      <c r="BV650" s="323"/>
      <c r="BW650" s="323"/>
      <c r="BX650" s="323"/>
      <c r="BY650" s="323"/>
      <c r="BZ650" s="323"/>
      <c r="CA650" s="323"/>
      <c r="CB650" s="323"/>
      <c r="CC650" s="323"/>
    </row>
    <row r="651" spans="23:81" x14ac:dyDescent="0.35">
      <c r="W651" s="305"/>
      <c r="X651" s="323"/>
      <c r="Y651" s="323"/>
      <c r="Z651" s="323"/>
      <c r="AA651" s="323"/>
      <c r="AB651" s="323"/>
      <c r="AC651" s="323"/>
      <c r="AD651" s="323"/>
      <c r="AE651" s="323"/>
      <c r="AF651" s="323"/>
      <c r="AG651" s="323"/>
      <c r="AH651" s="323"/>
      <c r="AI651" s="323"/>
      <c r="AJ651" s="323"/>
      <c r="AK651" s="323"/>
      <c r="AL651" s="323"/>
      <c r="AM651" s="323"/>
      <c r="AN651" s="457"/>
      <c r="AO651" s="457"/>
      <c r="AP651" s="457"/>
      <c r="AQ651" s="457"/>
      <c r="AR651" s="457"/>
      <c r="AS651" s="457"/>
      <c r="AT651" s="457"/>
      <c r="AU651" s="457"/>
      <c r="AV651" s="323"/>
      <c r="AW651" s="323"/>
      <c r="AX651" s="323"/>
      <c r="AY651" s="323"/>
      <c r="AZ651" s="323"/>
      <c r="BA651" s="323"/>
      <c r="BB651" s="323"/>
      <c r="BC651" s="323"/>
      <c r="BD651" s="323"/>
      <c r="BE651" s="323"/>
      <c r="BF651" s="323"/>
      <c r="BG651" s="323"/>
      <c r="BH651" s="323"/>
      <c r="BI651" s="323"/>
      <c r="BJ651" s="323"/>
      <c r="BK651" s="323"/>
      <c r="BL651" s="323"/>
      <c r="BM651" s="323"/>
      <c r="BN651" s="323"/>
      <c r="BO651" s="323"/>
      <c r="BP651" s="323"/>
      <c r="BQ651" s="323"/>
      <c r="BR651" s="323"/>
      <c r="BS651" s="323"/>
      <c r="BT651" s="323"/>
      <c r="BU651" s="323"/>
      <c r="BV651" s="323"/>
      <c r="BW651" s="323"/>
      <c r="BX651" s="323"/>
      <c r="BY651" s="323"/>
      <c r="BZ651" s="323"/>
      <c r="CA651" s="323"/>
      <c r="CB651" s="323"/>
      <c r="CC651" s="323"/>
    </row>
    <row r="652" spans="23:81" x14ac:dyDescent="0.35">
      <c r="W652" s="305"/>
      <c r="X652" s="323"/>
      <c r="Y652" s="323"/>
      <c r="Z652" s="323"/>
      <c r="AA652" s="323"/>
      <c r="AB652" s="323"/>
      <c r="AC652" s="323"/>
      <c r="AD652" s="323"/>
      <c r="AE652" s="323"/>
      <c r="AF652" s="323"/>
      <c r="AG652" s="323"/>
      <c r="AH652" s="323"/>
      <c r="AI652" s="323"/>
      <c r="AJ652" s="323"/>
      <c r="AK652" s="323"/>
      <c r="AL652" s="323"/>
      <c r="AM652" s="323"/>
      <c r="AN652" s="457"/>
      <c r="AO652" s="457"/>
      <c r="AP652" s="457"/>
      <c r="AQ652" s="457"/>
      <c r="AR652" s="457"/>
      <c r="AS652" s="457"/>
      <c r="AT652" s="457"/>
      <c r="AU652" s="457"/>
      <c r="AV652" s="323"/>
      <c r="AW652" s="323"/>
      <c r="AX652" s="323"/>
      <c r="AY652" s="323"/>
      <c r="AZ652" s="323"/>
      <c r="BA652" s="323"/>
      <c r="BB652" s="323"/>
      <c r="BC652" s="323"/>
      <c r="BD652" s="323"/>
      <c r="BE652" s="323"/>
      <c r="BF652" s="323"/>
      <c r="BG652" s="323"/>
      <c r="BH652" s="323"/>
      <c r="BI652" s="323"/>
      <c r="BJ652" s="323"/>
      <c r="BK652" s="323"/>
      <c r="BL652" s="323"/>
      <c r="BM652" s="323"/>
      <c r="BN652" s="323"/>
      <c r="BO652" s="323"/>
      <c r="BP652" s="323"/>
      <c r="BQ652" s="323"/>
      <c r="BR652" s="323"/>
      <c r="BS652" s="323"/>
      <c r="BT652" s="323"/>
      <c r="BU652" s="323"/>
      <c r="BV652" s="323"/>
      <c r="BW652" s="323"/>
      <c r="BX652" s="323"/>
      <c r="BY652" s="323"/>
      <c r="BZ652" s="323"/>
      <c r="CA652" s="323"/>
      <c r="CB652" s="323"/>
      <c r="CC652" s="323"/>
    </row>
    <row r="653" spans="23:81" x14ac:dyDescent="0.35">
      <c r="W653" s="305"/>
      <c r="X653" s="323"/>
      <c r="Y653" s="323"/>
      <c r="Z653" s="323"/>
      <c r="AA653" s="323"/>
      <c r="AB653" s="323"/>
      <c r="AC653" s="323"/>
      <c r="AD653" s="323"/>
      <c r="AE653" s="323"/>
      <c r="AF653" s="323"/>
      <c r="AG653" s="323"/>
      <c r="AH653" s="323"/>
      <c r="AI653" s="323"/>
      <c r="AJ653" s="323"/>
      <c r="AK653" s="323"/>
      <c r="AL653" s="323"/>
      <c r="AM653" s="323"/>
      <c r="AN653" s="457"/>
      <c r="AO653" s="457"/>
      <c r="AP653" s="457"/>
      <c r="AQ653" s="457"/>
      <c r="AR653" s="457"/>
      <c r="AS653" s="457"/>
      <c r="AT653" s="457"/>
      <c r="AU653" s="457"/>
      <c r="AV653" s="323"/>
      <c r="AW653" s="323"/>
      <c r="AX653" s="323"/>
      <c r="AY653" s="323"/>
      <c r="AZ653" s="323"/>
      <c r="BA653" s="323"/>
      <c r="BB653" s="323"/>
      <c r="BC653" s="323"/>
      <c r="BD653" s="323"/>
      <c r="BE653" s="323"/>
      <c r="BF653" s="323"/>
      <c r="BG653" s="323"/>
      <c r="BH653" s="323"/>
      <c r="BI653" s="323"/>
      <c r="BJ653" s="323"/>
      <c r="BK653" s="323"/>
      <c r="BL653" s="323"/>
      <c r="BM653" s="323"/>
      <c r="BN653" s="323"/>
      <c r="BO653" s="323"/>
      <c r="BP653" s="323"/>
      <c r="BQ653" s="323"/>
      <c r="BR653" s="323"/>
      <c r="BS653" s="323"/>
      <c r="BT653" s="323"/>
      <c r="BU653" s="323"/>
      <c r="BV653" s="323"/>
      <c r="BW653" s="323"/>
      <c r="BX653" s="323"/>
      <c r="BY653" s="323"/>
      <c r="BZ653" s="323"/>
      <c r="CA653" s="323"/>
      <c r="CB653" s="323"/>
      <c r="CC653" s="323"/>
    </row>
    <row r="654" spans="23:81" x14ac:dyDescent="0.35">
      <c r="W654" s="305"/>
      <c r="X654" s="323"/>
      <c r="Y654" s="323"/>
      <c r="Z654" s="323"/>
      <c r="AA654" s="323"/>
      <c r="AB654" s="323"/>
      <c r="AC654" s="323"/>
      <c r="AD654" s="323"/>
      <c r="AE654" s="323"/>
      <c r="AF654" s="323"/>
      <c r="AG654" s="323"/>
      <c r="AH654" s="323"/>
      <c r="AI654" s="323"/>
      <c r="AJ654" s="323"/>
      <c r="AK654" s="323"/>
      <c r="AL654" s="323"/>
      <c r="AM654" s="323"/>
      <c r="AN654" s="457"/>
      <c r="AO654" s="457"/>
      <c r="AP654" s="457"/>
      <c r="AQ654" s="457"/>
      <c r="AR654" s="457"/>
      <c r="AS654" s="457"/>
      <c r="AT654" s="457"/>
      <c r="AU654" s="457"/>
      <c r="AV654" s="323"/>
      <c r="AW654" s="323"/>
      <c r="AX654" s="323"/>
      <c r="AY654" s="323"/>
      <c r="AZ654" s="323"/>
      <c r="BA654" s="323"/>
      <c r="BB654" s="323"/>
      <c r="BC654" s="323"/>
      <c r="BD654" s="323"/>
      <c r="BE654" s="323"/>
      <c r="BF654" s="323"/>
      <c r="BG654" s="323"/>
      <c r="BH654" s="323"/>
      <c r="BI654" s="323"/>
      <c r="BJ654" s="323"/>
      <c r="BK654" s="323"/>
      <c r="BL654" s="323"/>
      <c r="BM654" s="323"/>
      <c r="BN654" s="323"/>
      <c r="BO654" s="323"/>
      <c r="BP654" s="323"/>
      <c r="BQ654" s="323"/>
      <c r="BR654" s="323"/>
      <c r="BS654" s="323"/>
      <c r="BT654" s="323"/>
      <c r="BU654" s="323"/>
      <c r="BV654" s="323"/>
      <c r="BW654" s="323"/>
      <c r="BX654" s="323"/>
      <c r="BY654" s="323"/>
      <c r="BZ654" s="323"/>
      <c r="CA654" s="323"/>
      <c r="CB654" s="323"/>
      <c r="CC654" s="323"/>
    </row>
    <row r="655" spans="23:81" x14ac:dyDescent="0.35">
      <c r="W655" s="305"/>
      <c r="X655" s="323"/>
      <c r="Y655" s="323"/>
      <c r="Z655" s="323"/>
      <c r="AA655" s="323"/>
      <c r="AB655" s="323"/>
      <c r="AC655" s="323"/>
      <c r="AD655" s="323"/>
      <c r="AE655" s="323"/>
      <c r="AF655" s="323"/>
      <c r="AG655" s="323"/>
      <c r="AH655" s="323"/>
      <c r="AI655" s="323"/>
      <c r="AJ655" s="323"/>
      <c r="AK655" s="323"/>
      <c r="AL655" s="323"/>
      <c r="AM655" s="323"/>
      <c r="AN655" s="457"/>
      <c r="AO655" s="457"/>
      <c r="AP655" s="457"/>
      <c r="AQ655" s="457"/>
      <c r="AR655" s="457"/>
      <c r="AS655" s="457"/>
      <c r="AT655" s="457"/>
      <c r="AU655" s="457"/>
      <c r="AV655" s="323"/>
      <c r="AW655" s="323"/>
      <c r="AX655" s="323"/>
      <c r="AY655" s="323"/>
      <c r="AZ655" s="323"/>
      <c r="BA655" s="323"/>
      <c r="BB655" s="323"/>
      <c r="BC655" s="323"/>
      <c r="BD655" s="323"/>
      <c r="BE655" s="323"/>
      <c r="BF655" s="323"/>
      <c r="BG655" s="323"/>
      <c r="BH655" s="323"/>
      <c r="BI655" s="323"/>
      <c r="BJ655" s="323"/>
      <c r="BK655" s="323"/>
      <c r="BL655" s="323"/>
      <c r="BM655" s="323"/>
      <c r="BN655" s="323"/>
      <c r="BO655" s="323"/>
      <c r="BP655" s="323"/>
      <c r="BQ655" s="323"/>
      <c r="BR655" s="323"/>
      <c r="BS655" s="323"/>
      <c r="BT655" s="323"/>
      <c r="BU655" s="323"/>
      <c r="BV655" s="323"/>
      <c r="BW655" s="323"/>
      <c r="BX655" s="323"/>
      <c r="BY655" s="323"/>
      <c r="BZ655" s="323"/>
      <c r="CA655" s="323"/>
      <c r="CB655" s="323"/>
      <c r="CC655" s="323"/>
    </row>
    <row r="656" spans="23:81" x14ac:dyDescent="0.35">
      <c r="W656" s="305"/>
      <c r="X656" s="323"/>
      <c r="Y656" s="323"/>
      <c r="Z656" s="323"/>
      <c r="AA656" s="323"/>
      <c r="AB656" s="323"/>
      <c r="AC656" s="323"/>
      <c r="AD656" s="323"/>
      <c r="AE656" s="323"/>
      <c r="AF656" s="323"/>
      <c r="AG656" s="323"/>
      <c r="AH656" s="323"/>
      <c r="AI656" s="323"/>
      <c r="AJ656" s="323"/>
      <c r="AK656" s="323"/>
      <c r="AL656" s="323"/>
      <c r="AM656" s="323"/>
      <c r="AN656" s="457"/>
      <c r="AO656" s="457"/>
      <c r="AP656" s="457"/>
      <c r="AQ656" s="457"/>
      <c r="AR656" s="457"/>
      <c r="AS656" s="457"/>
      <c r="AT656" s="457"/>
      <c r="AU656" s="457"/>
      <c r="AV656" s="323"/>
      <c r="AW656" s="323"/>
      <c r="AX656" s="323"/>
      <c r="AY656" s="323"/>
      <c r="AZ656" s="323"/>
      <c r="BA656" s="323"/>
      <c r="BB656" s="323"/>
      <c r="BC656" s="323"/>
      <c r="BD656" s="323"/>
      <c r="BE656" s="323"/>
      <c r="BF656" s="323"/>
      <c r="BG656" s="323"/>
      <c r="BH656" s="323"/>
      <c r="BI656" s="323"/>
      <c r="BJ656" s="323"/>
      <c r="BK656" s="323"/>
      <c r="BL656" s="323"/>
      <c r="BM656" s="323"/>
      <c r="BN656" s="323"/>
      <c r="BO656" s="323"/>
      <c r="BP656" s="323"/>
      <c r="BQ656" s="323"/>
      <c r="BR656" s="323"/>
      <c r="BS656" s="323"/>
      <c r="BT656" s="323"/>
      <c r="BU656" s="323"/>
      <c r="BV656" s="323"/>
      <c r="BW656" s="323"/>
      <c r="BX656" s="323"/>
      <c r="BY656" s="323"/>
      <c r="BZ656" s="323"/>
      <c r="CA656" s="323"/>
      <c r="CB656" s="323"/>
      <c r="CC656" s="323"/>
    </row>
    <row r="657" spans="23:81" x14ac:dyDescent="0.35">
      <c r="W657" s="305"/>
      <c r="X657" s="323"/>
      <c r="Y657" s="323"/>
      <c r="Z657" s="323"/>
      <c r="AA657" s="323"/>
      <c r="AB657" s="323"/>
      <c r="AC657" s="323"/>
      <c r="AD657" s="323"/>
      <c r="AE657" s="323"/>
      <c r="AF657" s="323"/>
      <c r="AG657" s="323"/>
      <c r="AH657" s="323"/>
      <c r="AI657" s="323"/>
      <c r="AJ657" s="323"/>
      <c r="AK657" s="323"/>
      <c r="AL657" s="323"/>
      <c r="AM657" s="323"/>
      <c r="AN657" s="457"/>
      <c r="AO657" s="457"/>
      <c r="AP657" s="457"/>
      <c r="AQ657" s="457"/>
      <c r="AR657" s="457"/>
      <c r="AS657" s="457"/>
      <c r="AT657" s="457"/>
      <c r="AU657" s="457"/>
      <c r="AV657" s="323"/>
      <c r="AW657" s="323"/>
      <c r="AX657" s="323"/>
      <c r="AY657" s="323"/>
      <c r="AZ657" s="323"/>
      <c r="BA657" s="323"/>
      <c r="BB657" s="323"/>
      <c r="BC657" s="323"/>
      <c r="BD657" s="323"/>
      <c r="BE657" s="323"/>
      <c r="BF657" s="323"/>
      <c r="BG657" s="323"/>
      <c r="BH657" s="323"/>
      <c r="BI657" s="323"/>
      <c r="BJ657" s="323"/>
      <c r="BK657" s="323"/>
      <c r="BL657" s="323"/>
      <c r="BM657" s="323"/>
      <c r="BN657" s="323"/>
      <c r="BO657" s="323"/>
      <c r="BP657" s="323"/>
      <c r="BQ657" s="323"/>
      <c r="BR657" s="323"/>
      <c r="BS657" s="323"/>
      <c r="BT657" s="323"/>
      <c r="BU657" s="323"/>
      <c r="BV657" s="323"/>
      <c r="BW657" s="323"/>
      <c r="BX657" s="323"/>
      <c r="BY657" s="323"/>
      <c r="BZ657" s="323"/>
      <c r="CA657" s="323"/>
      <c r="CB657" s="323"/>
      <c r="CC657" s="323"/>
    </row>
    <row r="658" spans="23:81" x14ac:dyDescent="0.35">
      <c r="W658" s="305"/>
      <c r="X658" s="323"/>
      <c r="Y658" s="323"/>
      <c r="Z658" s="323"/>
      <c r="AA658" s="323"/>
      <c r="AB658" s="323"/>
      <c r="AC658" s="323"/>
      <c r="AD658" s="323"/>
      <c r="AE658" s="323"/>
      <c r="AF658" s="323"/>
      <c r="AG658" s="323"/>
      <c r="AH658" s="323"/>
      <c r="AI658" s="323"/>
      <c r="AJ658" s="323"/>
      <c r="AK658" s="323"/>
      <c r="AL658" s="323"/>
      <c r="AM658" s="323"/>
      <c r="AN658" s="457"/>
      <c r="AO658" s="457"/>
      <c r="AP658" s="457"/>
      <c r="AQ658" s="457"/>
      <c r="AR658" s="457"/>
      <c r="AS658" s="457"/>
      <c r="AT658" s="457"/>
      <c r="AU658" s="457"/>
      <c r="AV658" s="323"/>
      <c r="AW658" s="323"/>
      <c r="AX658" s="323"/>
      <c r="AY658" s="323"/>
      <c r="AZ658" s="323"/>
      <c r="BA658" s="323"/>
      <c r="BB658" s="323"/>
      <c r="BC658" s="323"/>
      <c r="BD658" s="323"/>
      <c r="BE658" s="323"/>
      <c r="BF658" s="323"/>
      <c r="BG658" s="323"/>
      <c r="BH658" s="323"/>
      <c r="BI658" s="323"/>
      <c r="BJ658" s="323"/>
      <c r="BK658" s="323"/>
      <c r="BL658" s="323"/>
      <c r="BM658" s="323"/>
      <c r="BN658" s="323"/>
      <c r="BO658" s="323"/>
      <c r="BP658" s="323"/>
      <c r="BQ658" s="323"/>
      <c r="BR658" s="323"/>
      <c r="BS658" s="323"/>
      <c r="BT658" s="323"/>
      <c r="BU658" s="323"/>
      <c r="BV658" s="323"/>
      <c r="BW658" s="323"/>
      <c r="BX658" s="323"/>
      <c r="BY658" s="323"/>
      <c r="BZ658" s="323"/>
      <c r="CA658" s="323"/>
      <c r="CB658" s="323"/>
      <c r="CC658" s="323"/>
    </row>
    <row r="659" spans="23:81" x14ac:dyDescent="0.35">
      <c r="W659" s="305"/>
      <c r="X659" s="323"/>
      <c r="Y659" s="323"/>
      <c r="Z659" s="323"/>
      <c r="AA659" s="323"/>
      <c r="AB659" s="323"/>
      <c r="AC659" s="323"/>
      <c r="AD659" s="323"/>
      <c r="AE659" s="323"/>
      <c r="AF659" s="323"/>
      <c r="AG659" s="323"/>
      <c r="AH659" s="323"/>
      <c r="AI659" s="323"/>
      <c r="AJ659" s="323"/>
      <c r="AK659" s="323"/>
      <c r="AL659" s="323"/>
      <c r="AM659" s="323"/>
      <c r="AN659" s="457"/>
      <c r="AO659" s="457"/>
      <c r="AP659" s="457"/>
      <c r="AQ659" s="457"/>
      <c r="AR659" s="457"/>
      <c r="AS659" s="457"/>
      <c r="AT659" s="457"/>
      <c r="AU659" s="457"/>
      <c r="AV659" s="323"/>
      <c r="AW659" s="323"/>
      <c r="AX659" s="323"/>
      <c r="AY659" s="323"/>
      <c r="AZ659" s="323"/>
      <c r="BA659" s="323"/>
      <c r="BB659" s="323"/>
      <c r="BC659" s="323"/>
      <c r="BD659" s="323"/>
      <c r="BE659" s="323"/>
      <c r="BF659" s="323"/>
      <c r="BG659" s="323"/>
      <c r="BH659" s="323"/>
      <c r="BI659" s="323"/>
      <c r="BJ659" s="323"/>
      <c r="BK659" s="323"/>
      <c r="BL659" s="323"/>
      <c r="BM659" s="323"/>
      <c r="BN659" s="323"/>
      <c r="BO659" s="323"/>
      <c r="BP659" s="323"/>
      <c r="BQ659" s="323"/>
      <c r="BR659" s="323"/>
      <c r="BS659" s="323"/>
      <c r="BT659" s="323"/>
      <c r="BU659" s="323"/>
      <c r="BV659" s="323"/>
      <c r="BW659" s="323"/>
      <c r="BX659" s="323"/>
      <c r="BY659" s="323"/>
      <c r="BZ659" s="323"/>
      <c r="CA659" s="323"/>
      <c r="CB659" s="323"/>
      <c r="CC659" s="323"/>
    </row>
    <row r="660" spans="23:81" x14ac:dyDescent="0.35">
      <c r="W660" s="305"/>
      <c r="X660" s="323"/>
      <c r="Y660" s="323"/>
      <c r="Z660" s="323"/>
      <c r="AA660" s="323"/>
      <c r="AB660" s="323"/>
      <c r="AC660" s="323"/>
      <c r="AD660" s="323"/>
      <c r="AE660" s="323"/>
      <c r="AF660" s="323"/>
      <c r="AG660" s="323"/>
      <c r="AH660" s="323"/>
      <c r="AI660" s="323"/>
      <c r="AJ660" s="323"/>
      <c r="AK660" s="323"/>
      <c r="AL660" s="323"/>
      <c r="AM660" s="323"/>
      <c r="AN660" s="457"/>
      <c r="AO660" s="457"/>
      <c r="AP660" s="457"/>
      <c r="AQ660" s="457"/>
      <c r="AR660" s="457"/>
      <c r="AS660" s="457"/>
      <c r="AT660" s="457"/>
      <c r="AU660" s="457"/>
      <c r="AV660" s="323"/>
      <c r="AW660" s="323"/>
      <c r="AX660" s="323"/>
      <c r="AY660" s="323"/>
      <c r="AZ660" s="323"/>
      <c r="BA660" s="323"/>
      <c r="BB660" s="323"/>
      <c r="BC660" s="323"/>
      <c r="BD660" s="323"/>
      <c r="BE660" s="323"/>
      <c r="BF660" s="323"/>
      <c r="BG660" s="323"/>
      <c r="BH660" s="323"/>
      <c r="BI660" s="323"/>
      <c r="BJ660" s="323"/>
      <c r="BK660" s="323"/>
      <c r="BL660" s="323"/>
      <c r="BM660" s="323"/>
      <c r="BN660" s="323"/>
      <c r="BO660" s="323"/>
      <c r="BP660" s="323"/>
      <c r="BQ660" s="323"/>
      <c r="BR660" s="323"/>
      <c r="BS660" s="323"/>
      <c r="BT660" s="323"/>
      <c r="BU660" s="323"/>
      <c r="BV660" s="323"/>
      <c r="BW660" s="323"/>
      <c r="BX660" s="323"/>
      <c r="BY660" s="323"/>
      <c r="BZ660" s="323"/>
      <c r="CA660" s="323"/>
      <c r="CB660" s="323"/>
      <c r="CC660" s="323"/>
    </row>
    <row r="661" spans="23:81" x14ac:dyDescent="0.35">
      <c r="W661" s="305"/>
      <c r="X661" s="323"/>
      <c r="Y661" s="323"/>
      <c r="Z661" s="323"/>
      <c r="AA661" s="323"/>
      <c r="AB661" s="323"/>
      <c r="AC661" s="323"/>
      <c r="AD661" s="323"/>
      <c r="AE661" s="323"/>
      <c r="AF661" s="323"/>
      <c r="AG661" s="323"/>
      <c r="AH661" s="323"/>
      <c r="AI661" s="323"/>
      <c r="AJ661" s="323"/>
      <c r="AK661" s="323"/>
      <c r="AL661" s="323"/>
      <c r="AM661" s="323"/>
      <c r="AN661" s="457"/>
      <c r="AO661" s="457"/>
      <c r="AP661" s="457"/>
      <c r="AQ661" s="457"/>
      <c r="AR661" s="457"/>
      <c r="AS661" s="457"/>
      <c r="AT661" s="457"/>
      <c r="AU661" s="457"/>
      <c r="AV661" s="323"/>
      <c r="AW661" s="323"/>
      <c r="AX661" s="323"/>
      <c r="AY661" s="323"/>
      <c r="AZ661" s="323"/>
      <c r="BA661" s="323"/>
      <c r="BB661" s="323"/>
      <c r="BC661" s="323"/>
      <c r="BD661" s="323"/>
      <c r="BE661" s="323"/>
      <c r="BF661" s="323"/>
      <c r="BG661" s="323"/>
      <c r="BH661" s="323"/>
      <c r="BI661" s="323"/>
      <c r="BJ661" s="323"/>
      <c r="BK661" s="323"/>
      <c r="BL661" s="323"/>
      <c r="BM661" s="323"/>
      <c r="BN661" s="323"/>
      <c r="BO661" s="323"/>
      <c r="BP661" s="323"/>
      <c r="BQ661" s="323"/>
      <c r="BR661" s="323"/>
      <c r="BS661" s="323"/>
      <c r="BT661" s="323"/>
      <c r="BU661" s="323"/>
      <c r="BV661" s="323"/>
      <c r="BW661" s="323"/>
      <c r="BX661" s="323"/>
      <c r="BY661" s="323"/>
      <c r="BZ661" s="323"/>
      <c r="CA661" s="323"/>
      <c r="CB661" s="323"/>
      <c r="CC661" s="323"/>
    </row>
    <row r="662" spans="23:81" x14ac:dyDescent="0.35">
      <c r="W662" s="305"/>
      <c r="X662" s="323"/>
      <c r="Y662" s="323"/>
      <c r="Z662" s="323"/>
      <c r="AA662" s="323"/>
      <c r="AB662" s="323"/>
      <c r="AC662" s="323"/>
      <c r="AD662" s="323"/>
      <c r="AE662" s="323"/>
      <c r="AF662" s="323"/>
      <c r="AG662" s="323"/>
      <c r="AH662" s="323"/>
      <c r="AI662" s="323"/>
      <c r="AJ662" s="323"/>
      <c r="AK662" s="323"/>
      <c r="AL662" s="323"/>
      <c r="AM662" s="323"/>
      <c r="AN662" s="457"/>
      <c r="AO662" s="457"/>
      <c r="AP662" s="457"/>
      <c r="AQ662" s="457"/>
      <c r="AR662" s="457"/>
      <c r="AS662" s="457"/>
      <c r="AT662" s="457"/>
      <c r="AU662" s="457"/>
      <c r="AV662" s="323"/>
      <c r="AW662" s="323"/>
      <c r="AX662" s="323"/>
      <c r="AY662" s="323"/>
      <c r="AZ662" s="323"/>
      <c r="BA662" s="323"/>
      <c r="BB662" s="323"/>
      <c r="BC662" s="323"/>
      <c r="BD662" s="323"/>
      <c r="BE662" s="323"/>
      <c r="BF662" s="323"/>
      <c r="BG662" s="323"/>
      <c r="BH662" s="323"/>
      <c r="BI662" s="323"/>
      <c r="BJ662" s="323"/>
      <c r="BK662" s="323"/>
      <c r="BL662" s="323"/>
      <c r="BM662" s="323"/>
      <c r="BN662" s="323"/>
      <c r="BO662" s="323"/>
      <c r="BP662" s="323"/>
      <c r="BQ662" s="323"/>
      <c r="BR662" s="323"/>
      <c r="BS662" s="323"/>
      <c r="BT662" s="323"/>
      <c r="BU662" s="323"/>
      <c r="BV662" s="323"/>
      <c r="BW662" s="323"/>
      <c r="BX662" s="323"/>
      <c r="BY662" s="323"/>
      <c r="BZ662" s="323"/>
      <c r="CA662" s="323"/>
      <c r="CB662" s="323"/>
      <c r="CC662" s="323"/>
    </row>
    <row r="663" spans="23:81" x14ac:dyDescent="0.35">
      <c r="W663" s="305"/>
      <c r="X663" s="323"/>
      <c r="Y663" s="323"/>
      <c r="Z663" s="323"/>
      <c r="AA663" s="323"/>
      <c r="AB663" s="323"/>
      <c r="AC663" s="323"/>
      <c r="AD663" s="323"/>
      <c r="AE663" s="323"/>
      <c r="AF663" s="323"/>
      <c r="AG663" s="323"/>
      <c r="AH663" s="323"/>
      <c r="AI663" s="323"/>
      <c r="AJ663" s="323"/>
      <c r="AK663" s="323"/>
      <c r="AL663" s="323"/>
      <c r="AM663" s="323"/>
      <c r="AN663" s="457"/>
      <c r="AO663" s="457"/>
      <c r="AP663" s="457"/>
      <c r="AQ663" s="457"/>
      <c r="AR663" s="457"/>
      <c r="AS663" s="457"/>
      <c r="AT663" s="457"/>
      <c r="AU663" s="457"/>
      <c r="AV663" s="323"/>
      <c r="AW663" s="323"/>
      <c r="AX663" s="323"/>
      <c r="AY663" s="323"/>
      <c r="AZ663" s="323"/>
      <c r="BA663" s="323"/>
      <c r="BB663" s="323"/>
      <c r="BC663" s="323"/>
      <c r="BD663" s="323"/>
      <c r="BE663" s="323"/>
      <c r="BF663" s="323"/>
      <c r="BG663" s="323"/>
      <c r="BH663" s="323"/>
      <c r="BI663" s="323"/>
      <c r="BJ663" s="323"/>
      <c r="BK663" s="323"/>
      <c r="BL663" s="323"/>
      <c r="BM663" s="323"/>
      <c r="BN663" s="323"/>
      <c r="BO663" s="323"/>
      <c r="BP663" s="323"/>
      <c r="BQ663" s="323"/>
      <c r="BR663" s="323"/>
      <c r="BS663" s="323"/>
      <c r="BT663" s="323"/>
      <c r="BU663" s="323"/>
      <c r="BV663" s="323"/>
      <c r="BW663" s="323"/>
      <c r="BX663" s="323"/>
      <c r="BY663" s="323"/>
      <c r="BZ663" s="323"/>
      <c r="CA663" s="323"/>
      <c r="CB663" s="323"/>
      <c r="CC663" s="323"/>
    </row>
    <row r="664" spans="23:81" x14ac:dyDescent="0.35">
      <c r="W664" s="305"/>
      <c r="X664" s="323"/>
      <c r="Y664" s="323"/>
      <c r="Z664" s="323"/>
      <c r="AA664" s="323"/>
      <c r="AB664" s="323"/>
      <c r="AC664" s="323"/>
      <c r="AD664" s="323"/>
      <c r="AE664" s="323"/>
      <c r="AF664" s="323"/>
      <c r="AG664" s="323"/>
      <c r="AH664" s="323"/>
      <c r="AI664" s="323"/>
      <c r="AJ664" s="323"/>
      <c r="AK664" s="323"/>
      <c r="AL664" s="323"/>
      <c r="AM664" s="323"/>
      <c r="AN664" s="457"/>
      <c r="AO664" s="457"/>
      <c r="AP664" s="457"/>
      <c r="AQ664" s="457"/>
      <c r="AR664" s="457"/>
      <c r="AS664" s="457"/>
      <c r="AT664" s="457"/>
      <c r="AU664" s="457"/>
      <c r="AV664" s="323"/>
      <c r="AW664" s="323"/>
      <c r="AX664" s="323"/>
      <c r="AY664" s="323"/>
      <c r="AZ664" s="323"/>
      <c r="BA664" s="323"/>
      <c r="BB664" s="323"/>
      <c r="BC664" s="323"/>
      <c r="BD664" s="323"/>
      <c r="BE664" s="323"/>
      <c r="BF664" s="323"/>
      <c r="BG664" s="323"/>
      <c r="BH664" s="323"/>
      <c r="BI664" s="323"/>
      <c r="BJ664" s="323"/>
      <c r="BK664" s="323"/>
      <c r="BL664" s="323"/>
      <c r="BM664" s="323"/>
      <c r="BN664" s="323"/>
      <c r="BO664" s="323"/>
      <c r="BP664" s="323"/>
      <c r="BQ664" s="323"/>
      <c r="BR664" s="323"/>
      <c r="BS664" s="323"/>
      <c r="BT664" s="323"/>
      <c r="BU664" s="323"/>
      <c r="BV664" s="323"/>
      <c r="BW664" s="323"/>
      <c r="BX664" s="323"/>
      <c r="BY664" s="323"/>
      <c r="BZ664" s="323"/>
      <c r="CA664" s="323"/>
      <c r="CB664" s="323"/>
      <c r="CC664" s="323"/>
    </row>
    <row r="665" spans="23:81" x14ac:dyDescent="0.35">
      <c r="W665" s="305"/>
      <c r="X665" s="323"/>
      <c r="Y665" s="323"/>
      <c r="Z665" s="323"/>
      <c r="AA665" s="323"/>
      <c r="AB665" s="323"/>
      <c r="AC665" s="323"/>
      <c r="AD665" s="323"/>
      <c r="AE665" s="323"/>
      <c r="AF665" s="323"/>
      <c r="AG665" s="323"/>
      <c r="AH665" s="323"/>
      <c r="AI665" s="323"/>
      <c r="AJ665" s="323"/>
      <c r="AK665" s="323"/>
      <c r="AL665" s="323"/>
      <c r="AM665" s="323"/>
      <c r="AN665" s="457"/>
      <c r="AO665" s="457"/>
      <c r="AP665" s="457"/>
      <c r="AQ665" s="457"/>
      <c r="AR665" s="457"/>
      <c r="AS665" s="457"/>
      <c r="AT665" s="457"/>
      <c r="AU665" s="457"/>
      <c r="AV665" s="323"/>
      <c r="AW665" s="323"/>
      <c r="AX665" s="323"/>
      <c r="AY665" s="323"/>
      <c r="AZ665" s="323"/>
      <c r="BA665" s="323"/>
      <c r="BB665" s="323"/>
      <c r="BC665" s="323"/>
      <c r="BD665" s="323"/>
      <c r="BE665" s="323"/>
      <c r="BF665" s="323"/>
      <c r="BG665" s="323"/>
      <c r="BH665" s="323"/>
      <c r="BI665" s="323"/>
      <c r="BJ665" s="323"/>
      <c r="BK665" s="323"/>
      <c r="BL665" s="323"/>
      <c r="BM665" s="323"/>
      <c r="BN665" s="323"/>
      <c r="BO665" s="323"/>
      <c r="BP665" s="323"/>
      <c r="BQ665" s="323"/>
      <c r="BR665" s="323"/>
      <c r="BS665" s="323"/>
      <c r="BT665" s="323"/>
      <c r="BU665" s="323"/>
      <c r="BV665" s="323"/>
      <c r="BW665" s="323"/>
      <c r="BX665" s="323"/>
      <c r="BY665" s="323"/>
      <c r="BZ665" s="323"/>
      <c r="CA665" s="323"/>
      <c r="CB665" s="323"/>
      <c r="CC665" s="323"/>
    </row>
    <row r="666" spans="23:81" x14ac:dyDescent="0.35">
      <c r="W666" s="305"/>
      <c r="X666" s="323"/>
      <c r="Y666" s="323"/>
      <c r="Z666" s="323"/>
      <c r="AA666" s="323"/>
      <c r="AB666" s="323"/>
      <c r="AC666" s="323"/>
      <c r="AD666" s="323"/>
      <c r="AE666" s="323"/>
      <c r="AF666" s="323"/>
      <c r="AG666" s="323"/>
      <c r="AH666" s="323"/>
      <c r="AI666" s="323"/>
      <c r="AJ666" s="323"/>
      <c r="AK666" s="323"/>
      <c r="AL666" s="323"/>
      <c r="AM666" s="323"/>
      <c r="AN666" s="457"/>
      <c r="AO666" s="457"/>
      <c r="AP666" s="457"/>
      <c r="AQ666" s="457"/>
      <c r="AR666" s="457"/>
      <c r="AS666" s="457"/>
      <c r="AT666" s="457"/>
      <c r="AU666" s="457"/>
      <c r="AV666" s="323"/>
      <c r="AW666" s="323"/>
      <c r="AX666" s="323"/>
      <c r="AY666" s="323"/>
      <c r="AZ666" s="323"/>
      <c r="BA666" s="323"/>
      <c r="BB666" s="323"/>
      <c r="BC666" s="323"/>
      <c r="BD666" s="323"/>
      <c r="BE666" s="323"/>
      <c r="BF666" s="323"/>
      <c r="BG666" s="323"/>
      <c r="BH666" s="323"/>
      <c r="BI666" s="323"/>
      <c r="BJ666" s="323"/>
      <c r="BK666" s="323"/>
      <c r="BL666" s="323"/>
      <c r="BM666" s="323"/>
      <c r="BN666" s="323"/>
      <c r="BO666" s="323"/>
      <c r="BP666" s="323"/>
      <c r="BQ666" s="323"/>
      <c r="BR666" s="323"/>
      <c r="BS666" s="323"/>
      <c r="BT666" s="323"/>
      <c r="BU666" s="323"/>
      <c r="BV666" s="323"/>
      <c r="BW666" s="323"/>
      <c r="BX666" s="323"/>
      <c r="BY666" s="323"/>
      <c r="BZ666" s="323"/>
      <c r="CA666" s="323"/>
      <c r="CB666" s="323"/>
      <c r="CC666" s="323"/>
    </row>
    <row r="667" spans="23:81" x14ac:dyDescent="0.35">
      <c r="W667" s="305"/>
      <c r="X667" s="323"/>
      <c r="Y667" s="323"/>
      <c r="Z667" s="323"/>
      <c r="AA667" s="323"/>
      <c r="AB667" s="323"/>
      <c r="AC667" s="323"/>
      <c r="AD667" s="323"/>
      <c r="AE667" s="323"/>
      <c r="AF667" s="323"/>
      <c r="AG667" s="323"/>
      <c r="AH667" s="323"/>
      <c r="AI667" s="323"/>
      <c r="AJ667" s="323"/>
      <c r="AK667" s="323"/>
      <c r="AL667" s="323"/>
      <c r="AM667" s="323"/>
      <c r="AN667" s="457"/>
      <c r="AO667" s="457"/>
      <c r="AP667" s="457"/>
      <c r="AQ667" s="457"/>
      <c r="AR667" s="457"/>
      <c r="AS667" s="457"/>
      <c r="AT667" s="457"/>
      <c r="AU667" s="457"/>
      <c r="AV667" s="323"/>
      <c r="AW667" s="323"/>
      <c r="AX667" s="323"/>
      <c r="AY667" s="323"/>
      <c r="AZ667" s="323"/>
      <c r="BA667" s="323"/>
      <c r="BB667" s="323"/>
      <c r="BC667" s="323"/>
      <c r="BD667" s="323"/>
      <c r="BE667" s="323"/>
      <c r="BF667" s="323"/>
      <c r="BG667" s="323"/>
      <c r="BH667" s="323"/>
      <c r="BI667" s="323"/>
      <c r="BJ667" s="323"/>
      <c r="BK667" s="323"/>
      <c r="BL667" s="323"/>
      <c r="BM667" s="323"/>
      <c r="BN667" s="323"/>
      <c r="BO667" s="323"/>
      <c r="BP667" s="323"/>
      <c r="BQ667" s="323"/>
      <c r="BR667" s="323"/>
      <c r="BS667" s="323"/>
      <c r="BT667" s="323"/>
      <c r="BU667" s="323"/>
      <c r="BV667" s="323"/>
      <c r="BW667" s="323"/>
      <c r="BX667" s="323"/>
      <c r="BY667" s="323"/>
      <c r="BZ667" s="323"/>
      <c r="CA667" s="323"/>
      <c r="CB667" s="323"/>
      <c r="CC667" s="323"/>
    </row>
    <row r="668" spans="23:81" x14ac:dyDescent="0.35">
      <c r="W668" s="305"/>
      <c r="X668" s="323"/>
      <c r="Y668" s="323"/>
      <c r="Z668" s="323"/>
      <c r="AA668" s="323"/>
      <c r="AB668" s="323"/>
      <c r="AC668" s="323"/>
      <c r="AD668" s="323"/>
      <c r="AE668" s="323"/>
      <c r="AF668" s="323"/>
      <c r="AG668" s="323"/>
      <c r="AH668" s="323"/>
      <c r="AI668" s="323"/>
      <c r="AJ668" s="323"/>
      <c r="AK668" s="323"/>
      <c r="AL668" s="323"/>
      <c r="AM668" s="323"/>
      <c r="AN668" s="457"/>
      <c r="AO668" s="457"/>
      <c r="AP668" s="457"/>
      <c r="AQ668" s="457"/>
      <c r="AR668" s="457"/>
      <c r="AS668" s="457"/>
      <c r="AT668" s="457"/>
      <c r="AU668" s="457"/>
      <c r="AV668" s="323"/>
      <c r="AW668" s="323"/>
      <c r="AX668" s="323"/>
      <c r="AY668" s="323"/>
      <c r="AZ668" s="323"/>
      <c r="BA668" s="323"/>
      <c r="BB668" s="323"/>
      <c r="BC668" s="323"/>
      <c r="BD668" s="323"/>
      <c r="BE668" s="323"/>
      <c r="BF668" s="323"/>
      <c r="BG668" s="323"/>
      <c r="BH668" s="323"/>
      <c r="BI668" s="323"/>
      <c r="BJ668" s="323"/>
      <c r="BK668" s="323"/>
      <c r="BL668" s="323"/>
      <c r="BM668" s="323"/>
      <c r="BN668" s="323"/>
      <c r="BO668" s="323"/>
      <c r="BP668" s="323"/>
      <c r="BQ668" s="323"/>
      <c r="BR668" s="323"/>
      <c r="BS668" s="323"/>
      <c r="BT668" s="323"/>
      <c r="BU668" s="323"/>
      <c r="BV668" s="323"/>
      <c r="BW668" s="323"/>
      <c r="BX668" s="323"/>
      <c r="BY668" s="323"/>
      <c r="BZ668" s="323"/>
      <c r="CA668" s="323"/>
      <c r="CB668" s="323"/>
      <c r="CC668" s="323"/>
    </row>
    <row r="669" spans="23:81" x14ac:dyDescent="0.35">
      <c r="W669" s="305"/>
      <c r="X669" s="323"/>
      <c r="Y669" s="323"/>
      <c r="Z669" s="323"/>
      <c r="AA669" s="323"/>
      <c r="AB669" s="323"/>
      <c r="AC669" s="323"/>
      <c r="AD669" s="323"/>
      <c r="AE669" s="323"/>
      <c r="AF669" s="323"/>
      <c r="AG669" s="323"/>
      <c r="AH669" s="323"/>
      <c r="AI669" s="323"/>
      <c r="AJ669" s="323"/>
      <c r="AK669" s="323"/>
      <c r="AL669" s="323"/>
      <c r="AM669" s="323"/>
      <c r="AN669" s="457"/>
      <c r="AO669" s="457"/>
      <c r="AP669" s="457"/>
      <c r="AQ669" s="457"/>
      <c r="AR669" s="457"/>
      <c r="AS669" s="457"/>
      <c r="AT669" s="457"/>
      <c r="AU669" s="457"/>
      <c r="AV669" s="323"/>
      <c r="AW669" s="323"/>
      <c r="AX669" s="323"/>
      <c r="AY669" s="323"/>
      <c r="AZ669" s="323"/>
      <c r="BA669" s="323"/>
      <c r="BB669" s="323"/>
      <c r="BC669" s="323"/>
      <c r="BD669" s="323"/>
      <c r="BE669" s="323"/>
      <c r="BF669" s="323"/>
      <c r="BG669" s="323"/>
      <c r="BH669" s="323"/>
      <c r="BI669" s="323"/>
      <c r="BJ669" s="323"/>
      <c r="BK669" s="323"/>
      <c r="BL669" s="323"/>
      <c r="BM669" s="323"/>
      <c r="BN669" s="323"/>
      <c r="BO669" s="323"/>
      <c r="BP669" s="323"/>
      <c r="BQ669" s="323"/>
      <c r="BR669" s="323"/>
      <c r="BS669" s="323"/>
      <c r="BT669" s="323"/>
      <c r="BU669" s="323"/>
      <c r="BV669" s="323"/>
      <c r="BW669" s="323"/>
      <c r="BX669" s="323"/>
      <c r="BY669" s="323"/>
      <c r="BZ669" s="323"/>
      <c r="CA669" s="323"/>
      <c r="CB669" s="323"/>
      <c r="CC669" s="323"/>
    </row>
    <row r="670" spans="23:81" x14ac:dyDescent="0.35">
      <c r="W670" s="305"/>
      <c r="X670" s="323"/>
      <c r="Y670" s="323"/>
      <c r="Z670" s="323"/>
      <c r="AA670" s="323"/>
      <c r="AB670" s="323"/>
      <c r="AC670" s="323"/>
      <c r="AD670" s="323"/>
      <c r="AE670" s="323"/>
      <c r="AF670" s="323"/>
      <c r="AG670" s="323"/>
      <c r="AH670" s="323"/>
      <c r="AI670" s="323"/>
      <c r="AJ670" s="323"/>
      <c r="AK670" s="323"/>
      <c r="AL670" s="323"/>
      <c r="AM670" s="323"/>
      <c r="AN670" s="457"/>
      <c r="AO670" s="457"/>
      <c r="AP670" s="457"/>
      <c r="AQ670" s="457"/>
      <c r="AR670" s="457"/>
      <c r="AS670" s="457"/>
      <c r="AT670" s="457"/>
      <c r="AU670" s="457"/>
      <c r="AV670" s="323"/>
      <c r="AW670" s="323"/>
      <c r="AX670" s="323"/>
      <c r="AY670" s="323"/>
      <c r="AZ670" s="323"/>
      <c r="BA670" s="323"/>
      <c r="BB670" s="323"/>
      <c r="BC670" s="323"/>
      <c r="BD670" s="323"/>
      <c r="BE670" s="323"/>
      <c r="BF670" s="323"/>
      <c r="BG670" s="323"/>
      <c r="BH670" s="323"/>
      <c r="BI670" s="323"/>
      <c r="BJ670" s="323"/>
      <c r="BK670" s="323"/>
      <c r="BL670" s="323"/>
      <c r="BM670" s="323"/>
      <c r="BN670" s="323"/>
      <c r="BO670" s="323"/>
      <c r="BP670" s="323"/>
      <c r="BQ670" s="323"/>
      <c r="BR670" s="323"/>
      <c r="BS670" s="323"/>
      <c r="BT670" s="323"/>
      <c r="BU670" s="323"/>
      <c r="BV670" s="323"/>
      <c r="BW670" s="323"/>
      <c r="BX670" s="323"/>
      <c r="BY670" s="323"/>
      <c r="BZ670" s="323"/>
      <c r="CA670" s="323"/>
      <c r="CB670" s="323"/>
      <c r="CC670" s="323"/>
    </row>
    <row r="671" spans="23:81" x14ac:dyDescent="0.35">
      <c r="W671" s="305"/>
      <c r="X671" s="323"/>
      <c r="Y671" s="323"/>
      <c r="Z671" s="323"/>
      <c r="AA671" s="323"/>
      <c r="AB671" s="323"/>
      <c r="AC671" s="323"/>
      <c r="AD671" s="323"/>
      <c r="AE671" s="323"/>
      <c r="AF671" s="323"/>
      <c r="AG671" s="323"/>
      <c r="AH671" s="323"/>
      <c r="AI671" s="323"/>
      <c r="AJ671" s="323"/>
      <c r="AK671" s="323"/>
      <c r="AL671" s="323"/>
      <c r="AM671" s="323"/>
      <c r="AN671" s="457"/>
      <c r="AO671" s="457"/>
      <c r="AP671" s="457"/>
      <c r="AQ671" s="457"/>
      <c r="AR671" s="457"/>
      <c r="AS671" s="457"/>
      <c r="AT671" s="457"/>
      <c r="AU671" s="457"/>
      <c r="AV671" s="323"/>
      <c r="AW671" s="323"/>
      <c r="AX671" s="323"/>
      <c r="AY671" s="323"/>
      <c r="AZ671" s="323"/>
      <c r="BA671" s="323"/>
      <c r="BB671" s="323"/>
      <c r="BC671" s="323"/>
      <c r="BD671" s="323"/>
      <c r="BE671" s="323"/>
      <c r="BF671" s="323"/>
      <c r="BG671" s="323"/>
      <c r="BH671" s="323"/>
      <c r="BI671" s="323"/>
      <c r="BJ671" s="323"/>
      <c r="BK671" s="323"/>
      <c r="BL671" s="323"/>
      <c r="BM671" s="323"/>
      <c r="BN671" s="323"/>
      <c r="BO671" s="323"/>
      <c r="BP671" s="323"/>
      <c r="BQ671" s="323"/>
      <c r="BR671" s="323"/>
      <c r="BS671" s="323"/>
      <c r="BT671" s="323"/>
      <c r="BU671" s="323"/>
      <c r="BV671" s="323"/>
      <c r="BW671" s="323"/>
      <c r="BX671" s="323"/>
      <c r="BY671" s="323"/>
      <c r="BZ671" s="323"/>
      <c r="CA671" s="323"/>
      <c r="CB671" s="323"/>
      <c r="CC671" s="323"/>
    </row>
    <row r="672" spans="23:81" x14ac:dyDescent="0.35">
      <c r="W672" s="305"/>
      <c r="X672" s="323"/>
      <c r="Y672" s="323"/>
      <c r="Z672" s="323"/>
      <c r="AA672" s="323"/>
      <c r="AB672" s="323"/>
      <c r="AC672" s="323"/>
      <c r="AD672" s="323"/>
      <c r="AE672" s="323"/>
      <c r="AF672" s="323"/>
      <c r="AG672" s="323"/>
      <c r="AH672" s="323"/>
      <c r="AI672" s="323"/>
      <c r="AJ672" s="323"/>
      <c r="AK672" s="323"/>
      <c r="AL672" s="323"/>
      <c r="AM672" s="323"/>
      <c r="AN672" s="457"/>
      <c r="AO672" s="457"/>
      <c r="AP672" s="457"/>
      <c r="AQ672" s="457"/>
      <c r="AR672" s="457"/>
      <c r="AS672" s="457"/>
      <c r="AT672" s="457"/>
      <c r="AU672" s="457"/>
      <c r="AV672" s="323"/>
      <c r="AW672" s="323"/>
      <c r="AX672" s="323"/>
      <c r="AY672" s="323"/>
      <c r="AZ672" s="323"/>
      <c r="BA672" s="323"/>
      <c r="BB672" s="323"/>
      <c r="BC672" s="323"/>
      <c r="BD672" s="323"/>
      <c r="BE672" s="323"/>
      <c r="BF672" s="323"/>
      <c r="BG672" s="323"/>
      <c r="BH672" s="323"/>
      <c r="BI672" s="323"/>
      <c r="BJ672" s="323"/>
      <c r="BK672" s="323"/>
      <c r="BL672" s="323"/>
      <c r="BM672" s="323"/>
      <c r="BN672" s="323"/>
      <c r="BO672" s="323"/>
      <c r="BP672" s="323"/>
      <c r="BQ672" s="323"/>
      <c r="BR672" s="323"/>
      <c r="BS672" s="323"/>
      <c r="BT672" s="323"/>
      <c r="BU672" s="323"/>
      <c r="BV672" s="323"/>
      <c r="BW672" s="323"/>
      <c r="BX672" s="323"/>
      <c r="BY672" s="323"/>
      <c r="BZ672" s="323"/>
      <c r="CA672" s="323"/>
      <c r="CB672" s="323"/>
      <c r="CC672" s="323"/>
    </row>
    <row r="673" spans="23:81" x14ac:dyDescent="0.35">
      <c r="W673" s="305"/>
      <c r="X673" s="323"/>
      <c r="Y673" s="323"/>
      <c r="Z673" s="323"/>
      <c r="AA673" s="323"/>
      <c r="AB673" s="323"/>
      <c r="AC673" s="323"/>
      <c r="AD673" s="323"/>
      <c r="AE673" s="323"/>
      <c r="AF673" s="323"/>
      <c r="AG673" s="323"/>
      <c r="AH673" s="323"/>
      <c r="AI673" s="323"/>
      <c r="AJ673" s="323"/>
      <c r="AK673" s="323"/>
      <c r="AL673" s="323"/>
      <c r="AM673" s="323"/>
      <c r="AN673" s="457"/>
      <c r="AO673" s="457"/>
      <c r="AP673" s="457"/>
      <c r="AQ673" s="457"/>
      <c r="AR673" s="457"/>
      <c r="AS673" s="457"/>
      <c r="AT673" s="457"/>
      <c r="AU673" s="457"/>
      <c r="AV673" s="323"/>
      <c r="AW673" s="323"/>
      <c r="AX673" s="323"/>
      <c r="AY673" s="323"/>
      <c r="AZ673" s="323"/>
      <c r="BA673" s="323"/>
      <c r="BB673" s="323"/>
      <c r="BC673" s="323"/>
      <c r="BD673" s="323"/>
      <c r="BE673" s="323"/>
      <c r="BF673" s="323"/>
      <c r="BG673" s="323"/>
      <c r="BH673" s="323"/>
      <c r="BI673" s="323"/>
      <c r="BJ673" s="323"/>
      <c r="BK673" s="323"/>
      <c r="BL673" s="323"/>
      <c r="BM673" s="323"/>
      <c r="BN673" s="323"/>
      <c r="BO673" s="323"/>
      <c r="BP673" s="323"/>
      <c r="BQ673" s="323"/>
      <c r="BR673" s="323"/>
      <c r="BS673" s="323"/>
      <c r="BT673" s="323"/>
      <c r="BU673" s="323"/>
      <c r="BV673" s="323"/>
      <c r="BW673" s="323"/>
      <c r="BX673" s="323"/>
      <c r="BY673" s="323"/>
      <c r="BZ673" s="323"/>
      <c r="CA673" s="323"/>
      <c r="CB673" s="323"/>
      <c r="CC673" s="323"/>
    </row>
    <row r="674" spans="23:81" x14ac:dyDescent="0.35">
      <c r="W674" s="305"/>
      <c r="X674" s="323"/>
      <c r="Y674" s="323"/>
      <c r="Z674" s="323"/>
      <c r="AA674" s="323"/>
      <c r="AB674" s="323"/>
      <c r="AC674" s="323"/>
      <c r="AD674" s="323"/>
      <c r="AE674" s="323"/>
      <c r="AF674" s="323"/>
      <c r="AG674" s="323"/>
      <c r="AH674" s="323"/>
      <c r="AI674" s="323"/>
      <c r="AJ674" s="323"/>
      <c r="AK674" s="323"/>
      <c r="AL674" s="323"/>
      <c r="AM674" s="323"/>
      <c r="AN674" s="457"/>
      <c r="AO674" s="457"/>
      <c r="AP674" s="457"/>
      <c r="AQ674" s="457"/>
      <c r="AR674" s="457"/>
      <c r="AS674" s="457"/>
      <c r="AT674" s="457"/>
      <c r="AU674" s="457"/>
      <c r="AV674" s="323"/>
      <c r="AW674" s="323"/>
      <c r="AX674" s="323"/>
      <c r="AY674" s="323"/>
      <c r="AZ674" s="323"/>
      <c r="BA674" s="323"/>
      <c r="BB674" s="323"/>
      <c r="BC674" s="323"/>
      <c r="BD674" s="323"/>
      <c r="BE674" s="323"/>
      <c r="BF674" s="323"/>
      <c r="BG674" s="323"/>
      <c r="BH674" s="323"/>
      <c r="BI674" s="323"/>
      <c r="BJ674" s="323"/>
      <c r="BK674" s="323"/>
      <c r="BL674" s="323"/>
      <c r="BM674" s="323"/>
      <c r="BN674" s="323"/>
      <c r="BO674" s="323"/>
      <c r="BP674" s="323"/>
      <c r="BQ674" s="323"/>
      <c r="BR674" s="323"/>
      <c r="BS674" s="323"/>
      <c r="BT674" s="323"/>
      <c r="BU674" s="323"/>
      <c r="BV674" s="323"/>
      <c r="BW674" s="323"/>
      <c r="BX674" s="323"/>
      <c r="BY674" s="323"/>
      <c r="BZ674" s="323"/>
      <c r="CA674" s="323"/>
      <c r="CB674" s="323"/>
      <c r="CC674" s="323"/>
    </row>
    <row r="675" spans="23:81" x14ac:dyDescent="0.35">
      <c r="W675" s="305"/>
      <c r="X675" s="323"/>
      <c r="Y675" s="323"/>
      <c r="Z675" s="323"/>
      <c r="AA675" s="323"/>
      <c r="AB675" s="323"/>
      <c r="AC675" s="323"/>
      <c r="AD675" s="323"/>
      <c r="AE675" s="323"/>
      <c r="AF675" s="323"/>
      <c r="AG675" s="323"/>
      <c r="AH675" s="323"/>
      <c r="AI675" s="323"/>
      <c r="AJ675" s="323"/>
      <c r="AK675" s="323"/>
      <c r="AL675" s="323"/>
      <c r="AM675" s="323"/>
      <c r="AN675" s="457"/>
      <c r="AO675" s="457"/>
      <c r="AP675" s="457"/>
      <c r="AQ675" s="457"/>
      <c r="AR675" s="457"/>
      <c r="AS675" s="457"/>
      <c r="AT675" s="457"/>
      <c r="AU675" s="457"/>
      <c r="AV675" s="323"/>
      <c r="AW675" s="323"/>
      <c r="AX675" s="323"/>
      <c r="AY675" s="323"/>
      <c r="AZ675" s="323"/>
      <c r="BA675" s="323"/>
      <c r="BB675" s="323"/>
      <c r="BC675" s="323"/>
      <c r="BD675" s="323"/>
      <c r="BE675" s="323"/>
      <c r="BF675" s="323"/>
      <c r="BG675" s="323"/>
      <c r="BH675" s="323"/>
      <c r="BI675" s="323"/>
      <c r="BJ675" s="323"/>
      <c r="BK675" s="323"/>
      <c r="BL675" s="323"/>
      <c r="BM675" s="323"/>
      <c r="BN675" s="323"/>
      <c r="BO675" s="323"/>
      <c r="BP675" s="323"/>
      <c r="BQ675" s="323"/>
      <c r="BR675" s="323"/>
      <c r="BS675" s="323"/>
      <c r="BT675" s="323"/>
      <c r="BU675" s="323"/>
      <c r="BV675" s="323"/>
      <c r="BW675" s="323"/>
      <c r="BX675" s="323"/>
      <c r="BY675" s="323"/>
      <c r="BZ675" s="323"/>
      <c r="CA675" s="323"/>
      <c r="CB675" s="323"/>
      <c r="CC675" s="323"/>
    </row>
    <row r="676" spans="23:81" x14ac:dyDescent="0.35">
      <c r="W676" s="305"/>
      <c r="X676" s="323"/>
      <c r="Y676" s="323"/>
      <c r="Z676" s="323"/>
      <c r="AA676" s="323"/>
      <c r="AB676" s="323"/>
      <c r="AC676" s="323"/>
      <c r="AD676" s="323"/>
      <c r="AE676" s="323"/>
      <c r="AF676" s="323"/>
      <c r="AG676" s="323"/>
      <c r="AH676" s="323"/>
      <c r="AI676" s="323"/>
      <c r="AJ676" s="323"/>
      <c r="AK676" s="323"/>
      <c r="AL676" s="323"/>
      <c r="AM676" s="323"/>
      <c r="AN676" s="457"/>
      <c r="AO676" s="457"/>
      <c r="AP676" s="457"/>
      <c r="AQ676" s="457"/>
      <c r="AR676" s="457"/>
      <c r="AS676" s="457"/>
      <c r="AT676" s="457"/>
      <c r="AU676" s="457"/>
      <c r="AV676" s="323"/>
      <c r="AW676" s="323"/>
      <c r="AX676" s="323"/>
      <c r="AY676" s="323"/>
      <c r="AZ676" s="323"/>
      <c r="BA676" s="323"/>
      <c r="BB676" s="323"/>
      <c r="BC676" s="323"/>
      <c r="BD676" s="323"/>
      <c r="BE676" s="323"/>
      <c r="BF676" s="323"/>
      <c r="BG676" s="323"/>
      <c r="BH676" s="323"/>
      <c r="BI676" s="323"/>
      <c r="BJ676" s="323"/>
      <c r="BK676" s="323"/>
      <c r="BL676" s="323"/>
      <c r="BM676" s="323"/>
      <c r="BN676" s="323"/>
      <c r="BO676" s="323"/>
      <c r="BP676" s="323"/>
      <c r="BQ676" s="323"/>
      <c r="BR676" s="323"/>
      <c r="BS676" s="323"/>
      <c r="BT676" s="323"/>
      <c r="BU676" s="323"/>
      <c r="BV676" s="323"/>
      <c r="BW676" s="323"/>
      <c r="BX676" s="323"/>
      <c r="BY676" s="323"/>
      <c r="BZ676" s="323"/>
      <c r="CA676" s="323"/>
      <c r="CB676" s="323"/>
      <c r="CC676" s="323"/>
    </row>
    <row r="677" spans="23:81" x14ac:dyDescent="0.35">
      <c r="W677" s="305"/>
      <c r="X677" s="323"/>
      <c r="Y677" s="323"/>
      <c r="Z677" s="323"/>
      <c r="AA677" s="323"/>
      <c r="AB677" s="323"/>
      <c r="AC677" s="323"/>
      <c r="AD677" s="323"/>
      <c r="AE677" s="323"/>
      <c r="AF677" s="323"/>
      <c r="AG677" s="323"/>
      <c r="AH677" s="323"/>
      <c r="AI677" s="323"/>
      <c r="AJ677" s="323"/>
      <c r="AK677" s="323"/>
      <c r="AL677" s="323"/>
      <c r="AM677" s="323"/>
      <c r="AN677" s="457"/>
      <c r="AO677" s="457"/>
      <c r="AP677" s="457"/>
      <c r="AQ677" s="457"/>
      <c r="AR677" s="457"/>
      <c r="AS677" s="457"/>
      <c r="AT677" s="457"/>
      <c r="AU677" s="457"/>
      <c r="AV677" s="323"/>
      <c r="AW677" s="323"/>
      <c r="AX677" s="323"/>
      <c r="AY677" s="323"/>
      <c r="AZ677" s="323"/>
      <c r="BA677" s="323"/>
      <c r="BB677" s="323"/>
      <c r="BC677" s="323"/>
      <c r="BD677" s="323"/>
      <c r="BE677" s="323"/>
      <c r="BF677" s="323"/>
      <c r="BG677" s="323"/>
      <c r="BH677" s="323"/>
      <c r="BI677" s="323"/>
      <c r="BJ677" s="323"/>
      <c r="BK677" s="323"/>
      <c r="BL677" s="323"/>
      <c r="BM677" s="323"/>
      <c r="BN677" s="323"/>
      <c r="BO677" s="323"/>
      <c r="BP677" s="323"/>
      <c r="BQ677" s="323"/>
      <c r="BR677" s="323"/>
      <c r="BS677" s="323"/>
      <c r="BT677" s="323"/>
      <c r="BU677" s="323"/>
      <c r="BV677" s="323"/>
      <c r="BW677" s="323"/>
      <c r="BX677" s="323"/>
      <c r="BY677" s="323"/>
      <c r="BZ677" s="323"/>
      <c r="CA677" s="323"/>
      <c r="CB677" s="323"/>
      <c r="CC677" s="323"/>
    </row>
    <row r="678" spans="23:81" x14ac:dyDescent="0.35">
      <c r="W678" s="305"/>
      <c r="X678" s="323"/>
      <c r="Y678" s="323"/>
      <c r="Z678" s="323"/>
      <c r="AA678" s="323"/>
      <c r="AB678" s="323"/>
      <c r="AC678" s="323"/>
      <c r="AD678" s="323"/>
      <c r="AE678" s="323"/>
      <c r="AF678" s="323"/>
      <c r="AG678" s="323"/>
      <c r="AH678" s="323"/>
      <c r="AI678" s="323"/>
      <c r="AJ678" s="323"/>
      <c r="AK678" s="323"/>
      <c r="AL678" s="323"/>
      <c r="AM678" s="323"/>
      <c r="AN678" s="457"/>
      <c r="AO678" s="457"/>
      <c r="AP678" s="457"/>
      <c r="AQ678" s="457"/>
      <c r="AR678" s="457"/>
      <c r="AS678" s="457"/>
      <c r="AT678" s="457"/>
      <c r="AU678" s="457"/>
      <c r="AV678" s="323"/>
      <c r="AW678" s="323"/>
      <c r="AX678" s="323"/>
      <c r="AY678" s="323"/>
      <c r="AZ678" s="323"/>
      <c r="BA678" s="323"/>
      <c r="BB678" s="323"/>
      <c r="BC678" s="323"/>
      <c r="BD678" s="323"/>
      <c r="BE678" s="323"/>
      <c r="BF678" s="323"/>
      <c r="BG678" s="323"/>
      <c r="BH678" s="323"/>
      <c r="BI678" s="323"/>
      <c r="BJ678" s="323"/>
      <c r="BK678" s="323"/>
      <c r="BL678" s="323"/>
      <c r="BM678" s="323"/>
      <c r="BN678" s="323"/>
      <c r="BO678" s="323"/>
      <c r="BP678" s="323"/>
      <c r="BQ678" s="323"/>
      <c r="BR678" s="323"/>
      <c r="BS678" s="323"/>
      <c r="BT678" s="323"/>
      <c r="BU678" s="323"/>
      <c r="BV678" s="323"/>
      <c r="BW678" s="323"/>
      <c r="BX678" s="323"/>
      <c r="BY678" s="323"/>
      <c r="BZ678" s="323"/>
      <c r="CA678" s="323"/>
      <c r="CB678" s="323"/>
      <c r="CC678" s="323"/>
    </row>
    <row r="679" spans="23:81" x14ac:dyDescent="0.35">
      <c r="W679" s="305"/>
      <c r="X679" s="323"/>
      <c r="Y679" s="323"/>
      <c r="Z679" s="323"/>
      <c r="AA679" s="323"/>
      <c r="AB679" s="323"/>
      <c r="AC679" s="323"/>
      <c r="AD679" s="323"/>
      <c r="AE679" s="323"/>
      <c r="AF679" s="323"/>
      <c r="AG679" s="323"/>
      <c r="AH679" s="323"/>
      <c r="AI679" s="323"/>
      <c r="AJ679" s="323"/>
      <c r="AK679" s="323"/>
      <c r="AL679" s="323"/>
      <c r="AM679" s="323"/>
      <c r="AN679" s="457"/>
      <c r="AO679" s="457"/>
      <c r="AP679" s="457"/>
      <c r="AQ679" s="457"/>
      <c r="AR679" s="457"/>
      <c r="AS679" s="457"/>
      <c r="AT679" s="457"/>
      <c r="AU679" s="457"/>
      <c r="AV679" s="323"/>
      <c r="AW679" s="323"/>
      <c r="AX679" s="323"/>
      <c r="AY679" s="323"/>
      <c r="AZ679" s="323"/>
      <c r="BA679" s="323"/>
      <c r="BB679" s="323"/>
      <c r="BC679" s="323"/>
      <c r="BD679" s="323"/>
      <c r="BE679" s="323"/>
      <c r="BF679" s="323"/>
      <c r="BG679" s="323"/>
      <c r="BH679" s="323"/>
      <c r="BI679" s="323"/>
      <c r="BJ679" s="323"/>
      <c r="BK679" s="323"/>
      <c r="BL679" s="323"/>
      <c r="BM679" s="323"/>
      <c r="BN679" s="323"/>
      <c r="BO679" s="323"/>
      <c r="BP679" s="323"/>
      <c r="BQ679" s="323"/>
      <c r="BR679" s="323"/>
      <c r="BS679" s="323"/>
      <c r="BT679" s="323"/>
      <c r="BU679" s="323"/>
      <c r="BV679" s="323"/>
      <c r="BW679" s="323"/>
      <c r="BX679" s="323"/>
      <c r="BY679" s="323"/>
      <c r="BZ679" s="323"/>
      <c r="CA679" s="323"/>
      <c r="CB679" s="323"/>
      <c r="CC679" s="323"/>
    </row>
    <row r="680" spans="23:81" x14ac:dyDescent="0.35">
      <c r="W680" s="305"/>
      <c r="X680" s="323"/>
      <c r="Y680" s="323"/>
      <c r="Z680" s="323"/>
      <c r="AA680" s="323"/>
      <c r="AB680" s="323"/>
      <c r="AC680" s="323"/>
      <c r="AD680" s="323"/>
      <c r="AE680" s="323"/>
      <c r="AF680" s="323"/>
      <c r="AG680" s="323"/>
      <c r="AH680" s="323"/>
      <c r="AI680" s="323"/>
      <c r="AJ680" s="323"/>
      <c r="AK680" s="323"/>
      <c r="AL680" s="323"/>
      <c r="AM680" s="323"/>
      <c r="AN680" s="457"/>
      <c r="AO680" s="457"/>
      <c r="AP680" s="457"/>
      <c r="AQ680" s="457"/>
      <c r="AR680" s="457"/>
      <c r="AS680" s="457"/>
      <c r="AT680" s="457"/>
      <c r="AU680" s="457"/>
      <c r="AV680" s="323"/>
      <c r="AW680" s="323"/>
      <c r="AX680" s="323"/>
      <c r="AY680" s="323"/>
      <c r="AZ680" s="323"/>
      <c r="BA680" s="323"/>
      <c r="BB680" s="323"/>
      <c r="BC680" s="323"/>
      <c r="BD680" s="323"/>
      <c r="BE680" s="323"/>
      <c r="BF680" s="323"/>
      <c r="BG680" s="323"/>
      <c r="BH680" s="323"/>
      <c r="BI680" s="323"/>
      <c r="BJ680" s="323"/>
      <c r="BK680" s="323"/>
      <c r="BL680" s="323"/>
      <c r="BM680" s="323"/>
      <c r="BN680" s="323"/>
      <c r="BO680" s="323"/>
      <c r="BP680" s="323"/>
      <c r="BQ680" s="323"/>
      <c r="BR680" s="323"/>
      <c r="BS680" s="323"/>
      <c r="BT680" s="323"/>
      <c r="BU680" s="323"/>
      <c r="BV680" s="323"/>
      <c r="BW680" s="323"/>
      <c r="BX680" s="323"/>
      <c r="BY680" s="323"/>
      <c r="BZ680" s="323"/>
      <c r="CA680" s="323"/>
      <c r="CB680" s="323"/>
      <c r="CC680" s="323"/>
    </row>
    <row r="681" spans="23:81" x14ac:dyDescent="0.35">
      <c r="W681" s="305"/>
      <c r="X681" s="323"/>
      <c r="Y681" s="323"/>
      <c r="Z681" s="323"/>
      <c r="AA681" s="323"/>
      <c r="AB681" s="323"/>
      <c r="AC681" s="323"/>
      <c r="AD681" s="323"/>
      <c r="AE681" s="323"/>
      <c r="AF681" s="323"/>
      <c r="AG681" s="323"/>
      <c r="AH681" s="323"/>
      <c r="AI681" s="323"/>
      <c r="AJ681" s="323"/>
      <c r="AK681" s="323"/>
      <c r="AL681" s="323"/>
      <c r="AM681" s="323"/>
      <c r="AN681" s="457"/>
      <c r="AO681" s="457"/>
      <c r="AP681" s="457"/>
      <c r="AQ681" s="457"/>
      <c r="AR681" s="457"/>
      <c r="AS681" s="457"/>
      <c r="AT681" s="457"/>
      <c r="AU681" s="457"/>
      <c r="AV681" s="323"/>
      <c r="AW681" s="323"/>
      <c r="AX681" s="323"/>
      <c r="AY681" s="323"/>
      <c r="AZ681" s="323"/>
      <c r="BA681" s="323"/>
      <c r="BB681" s="323"/>
      <c r="BC681" s="323"/>
      <c r="BD681" s="323"/>
      <c r="BE681" s="323"/>
      <c r="BF681" s="323"/>
      <c r="BG681" s="323"/>
      <c r="BH681" s="323"/>
      <c r="BI681" s="323"/>
      <c r="BJ681" s="323"/>
      <c r="BK681" s="323"/>
      <c r="BL681" s="323"/>
      <c r="BM681" s="323"/>
      <c r="BN681" s="323"/>
      <c r="BO681" s="323"/>
      <c r="BP681" s="323"/>
      <c r="BQ681" s="323"/>
      <c r="BR681" s="323"/>
      <c r="BS681" s="323"/>
      <c r="BT681" s="323"/>
      <c r="BU681" s="323"/>
      <c r="BV681" s="323"/>
      <c r="BW681" s="323"/>
      <c r="BX681" s="323"/>
      <c r="BY681" s="323"/>
      <c r="BZ681" s="323"/>
      <c r="CA681" s="323"/>
      <c r="CB681" s="323"/>
      <c r="CC681" s="323"/>
    </row>
    <row r="682" spans="23:81" x14ac:dyDescent="0.35">
      <c r="W682" s="305"/>
      <c r="X682" s="323"/>
      <c r="Y682" s="323"/>
      <c r="Z682" s="323"/>
      <c r="AA682" s="323"/>
      <c r="AB682" s="323"/>
      <c r="AC682" s="323"/>
      <c r="AD682" s="323"/>
      <c r="AE682" s="323"/>
      <c r="AF682" s="323"/>
      <c r="AG682" s="323"/>
      <c r="AH682" s="323"/>
      <c r="AI682" s="323"/>
      <c r="AJ682" s="323"/>
      <c r="AK682" s="323"/>
      <c r="AL682" s="323"/>
      <c r="AM682" s="323"/>
      <c r="AN682" s="457"/>
      <c r="AO682" s="457"/>
      <c r="AP682" s="457"/>
      <c r="AQ682" s="457"/>
      <c r="AR682" s="457"/>
      <c r="AS682" s="457"/>
      <c r="AT682" s="457"/>
      <c r="AU682" s="457"/>
      <c r="AV682" s="323"/>
      <c r="AW682" s="323"/>
      <c r="AX682" s="323"/>
      <c r="AY682" s="323"/>
      <c r="AZ682" s="323"/>
      <c r="BA682" s="323"/>
      <c r="BB682" s="323"/>
      <c r="BC682" s="323"/>
      <c r="BD682" s="323"/>
      <c r="BE682" s="323"/>
      <c r="BF682" s="323"/>
      <c r="BG682" s="323"/>
      <c r="BH682" s="323"/>
      <c r="BI682" s="323"/>
      <c r="BJ682" s="323"/>
      <c r="BK682" s="323"/>
      <c r="BL682" s="323"/>
      <c r="BM682" s="323"/>
      <c r="BN682" s="323"/>
      <c r="BO682" s="323"/>
      <c r="BP682" s="323"/>
      <c r="BQ682" s="323"/>
      <c r="BR682" s="323"/>
      <c r="BS682" s="323"/>
      <c r="BT682" s="323"/>
      <c r="BU682" s="323"/>
      <c r="BV682" s="323"/>
      <c r="BW682" s="323"/>
      <c r="BX682" s="323"/>
      <c r="BY682" s="323"/>
      <c r="BZ682" s="323"/>
      <c r="CA682" s="323"/>
      <c r="CB682" s="323"/>
      <c r="CC682" s="323"/>
    </row>
    <row r="683" spans="23:81" x14ac:dyDescent="0.35">
      <c r="W683" s="305"/>
      <c r="X683" s="323"/>
      <c r="Y683" s="323"/>
      <c r="Z683" s="323"/>
      <c r="AA683" s="323"/>
      <c r="AB683" s="323"/>
      <c r="AC683" s="323"/>
      <c r="AD683" s="323"/>
      <c r="AE683" s="323"/>
      <c r="AF683" s="323"/>
      <c r="AG683" s="323"/>
      <c r="AH683" s="323"/>
      <c r="AI683" s="323"/>
      <c r="AJ683" s="323"/>
      <c r="AK683" s="323"/>
      <c r="AL683" s="323"/>
      <c r="AM683" s="323"/>
      <c r="AN683" s="457"/>
      <c r="AO683" s="457"/>
      <c r="AP683" s="457"/>
      <c r="AQ683" s="457"/>
      <c r="AR683" s="457"/>
      <c r="AS683" s="457"/>
      <c r="AT683" s="457"/>
      <c r="AU683" s="457"/>
      <c r="AV683" s="323"/>
      <c r="AW683" s="323"/>
      <c r="AX683" s="323"/>
      <c r="AY683" s="323"/>
      <c r="AZ683" s="323"/>
      <c r="BA683" s="323"/>
      <c r="BB683" s="323"/>
      <c r="BC683" s="323"/>
      <c r="BD683" s="323"/>
      <c r="BE683" s="323"/>
      <c r="BF683" s="323"/>
      <c r="BG683" s="323"/>
      <c r="BH683" s="323"/>
      <c r="BI683" s="323"/>
      <c r="BJ683" s="323"/>
      <c r="BK683" s="323"/>
      <c r="BL683" s="323"/>
      <c r="BM683" s="323"/>
      <c r="BN683" s="323"/>
      <c r="BO683" s="323"/>
      <c r="BP683" s="323"/>
      <c r="BQ683" s="323"/>
      <c r="BR683" s="323"/>
      <c r="BS683" s="323"/>
      <c r="BT683" s="323"/>
      <c r="BU683" s="323"/>
      <c r="BV683" s="323"/>
      <c r="BW683" s="323"/>
      <c r="BX683" s="323"/>
      <c r="BY683" s="323"/>
      <c r="BZ683" s="323"/>
      <c r="CA683" s="323"/>
      <c r="CB683" s="323"/>
      <c r="CC683" s="323"/>
    </row>
    <row r="684" spans="23:81" x14ac:dyDescent="0.35">
      <c r="W684" s="305"/>
      <c r="X684" s="323"/>
      <c r="Y684" s="323"/>
      <c r="Z684" s="323"/>
      <c r="AA684" s="323"/>
      <c r="AB684" s="323"/>
      <c r="AC684" s="323"/>
      <c r="AD684" s="323"/>
      <c r="AE684" s="323"/>
      <c r="AF684" s="323"/>
      <c r="AG684" s="323"/>
      <c r="AH684" s="323"/>
      <c r="AI684" s="323"/>
      <c r="AJ684" s="323"/>
      <c r="AK684" s="323"/>
      <c r="AL684" s="323"/>
      <c r="AM684" s="323"/>
      <c r="AN684" s="457"/>
      <c r="AO684" s="457"/>
      <c r="AP684" s="457"/>
      <c r="AQ684" s="457"/>
      <c r="AR684" s="457"/>
      <c r="AS684" s="457"/>
      <c r="AT684" s="457"/>
      <c r="AU684" s="457"/>
      <c r="AV684" s="323"/>
      <c r="AW684" s="323"/>
      <c r="AX684" s="323"/>
      <c r="AY684" s="323"/>
      <c r="AZ684" s="323"/>
      <c r="BA684" s="323"/>
      <c r="BB684" s="323"/>
      <c r="BC684" s="323"/>
      <c r="BD684" s="323"/>
      <c r="BE684" s="323"/>
      <c r="BF684" s="323"/>
      <c r="BG684" s="323"/>
      <c r="BH684" s="323"/>
      <c r="BI684" s="323"/>
      <c r="BJ684" s="323"/>
      <c r="BK684" s="323"/>
      <c r="BL684" s="323"/>
      <c r="BM684" s="323"/>
      <c r="BN684" s="323"/>
      <c r="BO684" s="323"/>
      <c r="BP684" s="323"/>
      <c r="BQ684" s="323"/>
      <c r="BR684" s="323"/>
      <c r="BS684" s="323"/>
      <c r="BT684" s="323"/>
      <c r="BU684" s="323"/>
      <c r="BV684" s="323"/>
      <c r="BW684" s="323"/>
      <c r="BX684" s="323"/>
      <c r="BY684" s="323"/>
      <c r="BZ684" s="323"/>
      <c r="CA684" s="323"/>
      <c r="CB684" s="323"/>
      <c r="CC684" s="323"/>
    </row>
    <row r="685" spans="23:81" x14ac:dyDescent="0.35">
      <c r="W685" s="305"/>
      <c r="X685" s="323"/>
      <c r="Y685" s="323"/>
      <c r="Z685" s="323"/>
      <c r="AA685" s="323"/>
      <c r="AB685" s="323"/>
      <c r="AC685" s="323"/>
      <c r="AD685" s="323"/>
      <c r="AE685" s="323"/>
      <c r="AF685" s="323"/>
      <c r="AG685" s="323"/>
      <c r="AH685" s="323"/>
      <c r="AI685" s="323"/>
      <c r="AJ685" s="323"/>
      <c r="AK685" s="323"/>
      <c r="AL685" s="323"/>
      <c r="AM685" s="323"/>
      <c r="AN685" s="457"/>
      <c r="AO685" s="457"/>
      <c r="AP685" s="457"/>
      <c r="AQ685" s="457"/>
      <c r="AR685" s="457"/>
      <c r="AS685" s="457"/>
      <c r="AT685" s="457"/>
      <c r="AU685" s="457"/>
      <c r="AV685" s="323"/>
      <c r="AW685" s="323"/>
      <c r="AX685" s="323"/>
      <c r="AY685" s="323"/>
      <c r="AZ685" s="323"/>
      <c r="BA685" s="323"/>
      <c r="BB685" s="323"/>
      <c r="BC685" s="323"/>
      <c r="BD685" s="323"/>
      <c r="BE685" s="323"/>
      <c r="BF685" s="323"/>
      <c r="BG685" s="323"/>
      <c r="BH685" s="323"/>
      <c r="BI685" s="323"/>
      <c r="BJ685" s="323"/>
      <c r="BK685" s="323"/>
      <c r="BL685" s="323"/>
      <c r="BM685" s="323"/>
      <c r="BN685" s="323"/>
      <c r="BO685" s="323"/>
      <c r="BP685" s="323"/>
      <c r="BQ685" s="323"/>
      <c r="BR685" s="323"/>
      <c r="BS685" s="323"/>
      <c r="BT685" s="323"/>
      <c r="BU685" s="323"/>
      <c r="BV685" s="323"/>
      <c r="BW685" s="323"/>
      <c r="BX685" s="323"/>
      <c r="BY685" s="323"/>
      <c r="BZ685" s="323"/>
      <c r="CA685" s="323"/>
      <c r="CB685" s="323"/>
      <c r="CC685" s="323"/>
    </row>
    <row r="686" spans="23:81" x14ac:dyDescent="0.35">
      <c r="W686" s="305"/>
      <c r="X686" s="323"/>
      <c r="Y686" s="323"/>
      <c r="Z686" s="323"/>
      <c r="AA686" s="323"/>
      <c r="AB686" s="323"/>
      <c r="AC686" s="323"/>
      <c r="AD686" s="323"/>
      <c r="AE686" s="323"/>
      <c r="AF686" s="323"/>
      <c r="AG686" s="323"/>
      <c r="AH686" s="323"/>
      <c r="AI686" s="323"/>
      <c r="AJ686" s="323"/>
      <c r="AK686" s="323"/>
      <c r="AL686" s="323"/>
      <c r="AM686" s="323"/>
      <c r="AN686" s="457"/>
      <c r="AO686" s="457"/>
      <c r="AP686" s="457"/>
      <c r="AQ686" s="457"/>
      <c r="AR686" s="457"/>
      <c r="AS686" s="457"/>
      <c r="AT686" s="457"/>
      <c r="AU686" s="457"/>
      <c r="AV686" s="323"/>
      <c r="AW686" s="323"/>
      <c r="AX686" s="323"/>
      <c r="AY686" s="323"/>
      <c r="AZ686" s="323"/>
      <c r="BA686" s="323"/>
      <c r="BB686" s="323"/>
      <c r="BC686" s="323"/>
      <c r="BD686" s="323"/>
      <c r="BE686" s="323"/>
      <c r="BF686" s="323"/>
      <c r="BG686" s="323"/>
      <c r="BH686" s="323"/>
      <c r="BI686" s="323"/>
      <c r="BJ686" s="323"/>
      <c r="BK686" s="323"/>
      <c r="BL686" s="323"/>
      <c r="BM686" s="323"/>
      <c r="BN686" s="323"/>
      <c r="BO686" s="323"/>
      <c r="BP686" s="323"/>
      <c r="BQ686" s="323"/>
      <c r="BR686" s="323"/>
      <c r="BS686" s="323"/>
      <c r="BT686" s="323"/>
      <c r="BU686" s="323"/>
      <c r="BV686" s="323"/>
      <c r="BW686" s="323"/>
      <c r="BX686" s="323"/>
      <c r="BY686" s="323"/>
      <c r="BZ686" s="323"/>
      <c r="CA686" s="323"/>
      <c r="CB686" s="323"/>
      <c r="CC686" s="323"/>
    </row>
    <row r="687" spans="23:81" x14ac:dyDescent="0.35">
      <c r="W687" s="305"/>
      <c r="X687" s="323"/>
      <c r="Y687" s="323"/>
      <c r="Z687" s="323"/>
      <c r="AA687" s="323"/>
      <c r="AB687" s="323"/>
      <c r="AC687" s="323"/>
      <c r="AD687" s="323"/>
      <c r="AE687" s="323"/>
      <c r="AF687" s="323"/>
      <c r="AG687" s="323"/>
      <c r="AH687" s="323"/>
      <c r="AI687" s="323"/>
      <c r="AJ687" s="323"/>
      <c r="AK687" s="323"/>
      <c r="AL687" s="323"/>
      <c r="AM687" s="323"/>
      <c r="AN687" s="457"/>
      <c r="AO687" s="457"/>
      <c r="AP687" s="457"/>
      <c r="AQ687" s="457"/>
      <c r="AR687" s="457"/>
      <c r="AS687" s="457"/>
      <c r="AT687" s="457"/>
      <c r="AU687" s="457"/>
      <c r="AV687" s="323"/>
      <c r="AW687" s="323"/>
      <c r="AX687" s="323"/>
      <c r="AY687" s="323"/>
      <c r="AZ687" s="323"/>
      <c r="BA687" s="323"/>
      <c r="BB687" s="323"/>
      <c r="BC687" s="323"/>
      <c r="BD687" s="323"/>
      <c r="BE687" s="323"/>
      <c r="BF687" s="323"/>
      <c r="BG687" s="323"/>
      <c r="BH687" s="323"/>
      <c r="BI687" s="323"/>
      <c r="BJ687" s="323"/>
      <c r="BK687" s="323"/>
      <c r="BL687" s="323"/>
      <c r="BM687" s="323"/>
      <c r="BN687" s="323"/>
      <c r="BO687" s="323"/>
      <c r="BP687" s="323"/>
      <c r="BQ687" s="323"/>
      <c r="BR687" s="323"/>
      <c r="BS687" s="323"/>
      <c r="BT687" s="323"/>
      <c r="BU687" s="323"/>
      <c r="BV687" s="323"/>
      <c r="BW687" s="323"/>
      <c r="BX687" s="323"/>
      <c r="BY687" s="323"/>
      <c r="BZ687" s="323"/>
      <c r="CA687" s="323"/>
      <c r="CB687" s="323"/>
      <c r="CC687" s="323"/>
    </row>
    <row r="688" spans="23:81" x14ac:dyDescent="0.35">
      <c r="W688" s="305"/>
      <c r="X688" s="323"/>
      <c r="Y688" s="323"/>
      <c r="Z688" s="323"/>
      <c r="AA688" s="323"/>
      <c r="AB688" s="323"/>
      <c r="AC688" s="323"/>
      <c r="AD688" s="323"/>
      <c r="AE688" s="323"/>
      <c r="AF688" s="323"/>
      <c r="AG688" s="323"/>
      <c r="AH688" s="323"/>
      <c r="AI688" s="323"/>
      <c r="AJ688" s="323"/>
      <c r="AK688" s="323"/>
      <c r="AL688" s="323"/>
      <c r="AM688" s="323"/>
      <c r="AN688" s="457"/>
      <c r="AO688" s="457"/>
      <c r="AP688" s="457"/>
      <c r="AQ688" s="457"/>
      <c r="AR688" s="457"/>
      <c r="AS688" s="457"/>
      <c r="AT688" s="457"/>
      <c r="AU688" s="457"/>
      <c r="AV688" s="323"/>
      <c r="AW688" s="323"/>
      <c r="AX688" s="323"/>
      <c r="AY688" s="323"/>
      <c r="AZ688" s="323"/>
      <c r="BA688" s="323"/>
      <c r="BB688" s="323"/>
      <c r="BC688" s="323"/>
      <c r="BD688" s="323"/>
      <c r="BE688" s="323"/>
      <c r="BF688" s="323"/>
      <c r="BG688" s="323"/>
      <c r="BH688" s="323"/>
      <c r="BI688" s="323"/>
      <c r="BJ688" s="323"/>
      <c r="BK688" s="323"/>
      <c r="BL688" s="323"/>
      <c r="BM688" s="323"/>
      <c r="BN688" s="323"/>
      <c r="BO688" s="323"/>
      <c r="BP688" s="323"/>
      <c r="BQ688" s="323"/>
      <c r="BR688" s="323"/>
      <c r="BS688" s="323"/>
      <c r="BT688" s="323"/>
      <c r="BU688" s="323"/>
      <c r="BV688" s="323"/>
      <c r="BW688" s="323"/>
      <c r="BX688" s="323"/>
      <c r="BY688" s="323"/>
      <c r="BZ688" s="323"/>
      <c r="CA688" s="323"/>
      <c r="CB688" s="323"/>
      <c r="CC688" s="323"/>
    </row>
    <row r="689" spans="23:81" x14ac:dyDescent="0.35">
      <c r="W689" s="305"/>
      <c r="X689" s="323"/>
      <c r="Y689" s="323"/>
      <c r="Z689" s="323"/>
      <c r="AA689" s="323"/>
      <c r="AB689" s="323"/>
      <c r="AC689" s="323"/>
      <c r="AD689" s="323"/>
      <c r="AE689" s="323"/>
      <c r="AF689" s="323"/>
      <c r="AG689" s="323"/>
      <c r="AH689" s="323"/>
      <c r="AI689" s="323"/>
      <c r="AJ689" s="323"/>
      <c r="AK689" s="323"/>
      <c r="AL689" s="323"/>
      <c r="AM689" s="323"/>
      <c r="AN689" s="457"/>
      <c r="AO689" s="457"/>
      <c r="AP689" s="457"/>
      <c r="AQ689" s="457"/>
      <c r="AR689" s="457"/>
      <c r="AS689" s="457"/>
      <c r="AT689" s="457"/>
      <c r="AU689" s="457"/>
      <c r="AV689" s="323"/>
      <c r="AW689" s="323"/>
      <c r="AX689" s="323"/>
      <c r="AY689" s="323"/>
      <c r="AZ689" s="323"/>
      <c r="BA689" s="323"/>
      <c r="BB689" s="323"/>
      <c r="BC689" s="323"/>
      <c r="BD689" s="323"/>
      <c r="BE689" s="323"/>
      <c r="BF689" s="323"/>
      <c r="BG689" s="323"/>
      <c r="BH689" s="323"/>
      <c r="BI689" s="323"/>
      <c r="BJ689" s="323"/>
      <c r="BK689" s="323"/>
      <c r="BL689" s="323"/>
      <c r="BM689" s="323"/>
      <c r="BN689" s="323"/>
      <c r="BO689" s="323"/>
      <c r="BP689" s="323"/>
      <c r="BQ689" s="323"/>
      <c r="BR689" s="323"/>
      <c r="BS689" s="323"/>
      <c r="BT689" s="323"/>
      <c r="BU689" s="323"/>
      <c r="BV689" s="323"/>
      <c r="BW689" s="323"/>
      <c r="BX689" s="323"/>
      <c r="BY689" s="323"/>
      <c r="BZ689" s="323"/>
      <c r="CA689" s="323"/>
      <c r="CB689" s="323"/>
      <c r="CC689" s="323"/>
    </row>
    <row r="690" spans="23:81" x14ac:dyDescent="0.35">
      <c r="W690" s="305"/>
      <c r="X690" s="323"/>
      <c r="Y690" s="323"/>
      <c r="Z690" s="323"/>
      <c r="AA690" s="323"/>
      <c r="AB690" s="323"/>
      <c r="AC690" s="323"/>
      <c r="AD690" s="323"/>
      <c r="AE690" s="323"/>
      <c r="AF690" s="323"/>
      <c r="AG690" s="323"/>
      <c r="AH690" s="323"/>
      <c r="AI690" s="323"/>
      <c r="AJ690" s="323"/>
      <c r="AK690" s="323"/>
      <c r="AL690" s="323"/>
      <c r="AM690" s="323"/>
      <c r="AN690" s="457"/>
      <c r="AO690" s="457"/>
      <c r="AP690" s="457"/>
      <c r="AQ690" s="457"/>
      <c r="AR690" s="457"/>
      <c r="AS690" s="457"/>
      <c r="AT690" s="457"/>
      <c r="AU690" s="457"/>
      <c r="AV690" s="323"/>
      <c r="AW690" s="323"/>
      <c r="AX690" s="323"/>
      <c r="AY690" s="323"/>
      <c r="AZ690" s="323"/>
      <c r="BA690" s="323"/>
      <c r="BB690" s="323"/>
      <c r="BC690" s="323"/>
      <c r="BD690" s="323"/>
      <c r="BE690" s="323"/>
      <c r="BF690" s="323"/>
      <c r="BG690" s="323"/>
      <c r="BH690" s="323"/>
      <c r="BI690" s="323"/>
      <c r="BJ690" s="323"/>
      <c r="BK690" s="323"/>
      <c r="BL690" s="323"/>
      <c r="BM690" s="323"/>
      <c r="BN690" s="323"/>
      <c r="BO690" s="323"/>
      <c r="BP690" s="323"/>
      <c r="BQ690" s="323"/>
      <c r="BR690" s="323"/>
      <c r="BS690" s="323"/>
      <c r="BT690" s="323"/>
      <c r="BU690" s="323"/>
      <c r="BV690" s="323"/>
      <c r="BW690" s="323"/>
      <c r="BX690" s="323"/>
      <c r="BY690" s="323"/>
      <c r="BZ690" s="323"/>
      <c r="CA690" s="323"/>
      <c r="CB690" s="323"/>
      <c r="CC690" s="323"/>
    </row>
    <row r="691" spans="23:81" x14ac:dyDescent="0.35">
      <c r="W691" s="305"/>
      <c r="X691" s="323"/>
      <c r="Y691" s="323"/>
      <c r="Z691" s="323"/>
      <c r="AA691" s="323"/>
      <c r="AB691" s="323"/>
      <c r="AC691" s="323"/>
      <c r="AD691" s="323"/>
      <c r="AE691" s="323"/>
      <c r="AF691" s="323"/>
      <c r="AG691" s="323"/>
      <c r="AH691" s="323"/>
      <c r="AI691" s="323"/>
      <c r="AJ691" s="323"/>
      <c r="AK691" s="323"/>
      <c r="AL691" s="323"/>
      <c r="AM691" s="323"/>
      <c r="AN691" s="457"/>
      <c r="AO691" s="457"/>
      <c r="AP691" s="457"/>
      <c r="AQ691" s="457"/>
      <c r="AR691" s="457"/>
      <c r="AS691" s="457"/>
      <c r="AT691" s="457"/>
      <c r="AU691" s="457"/>
      <c r="AV691" s="323"/>
      <c r="AW691" s="323"/>
      <c r="AX691" s="323"/>
      <c r="AY691" s="323"/>
      <c r="AZ691" s="323"/>
      <c r="BA691" s="323"/>
      <c r="BB691" s="323"/>
      <c r="BC691" s="323"/>
      <c r="BD691" s="323"/>
      <c r="BE691" s="323"/>
      <c r="BF691" s="323"/>
      <c r="BG691" s="323"/>
      <c r="BH691" s="323"/>
      <c r="BI691" s="323"/>
      <c r="BJ691" s="323"/>
      <c r="BK691" s="323"/>
      <c r="BL691" s="323"/>
      <c r="BM691" s="323"/>
      <c r="BN691" s="323"/>
      <c r="BO691" s="323"/>
      <c r="BP691" s="323"/>
      <c r="BQ691" s="323"/>
      <c r="BR691" s="323"/>
      <c r="BS691" s="323"/>
      <c r="BT691" s="323"/>
      <c r="BU691" s="323"/>
      <c r="BV691" s="323"/>
      <c r="BW691" s="323"/>
      <c r="BX691" s="323"/>
      <c r="BY691" s="323"/>
      <c r="BZ691" s="323"/>
      <c r="CA691" s="323"/>
      <c r="CB691" s="323"/>
      <c r="CC691" s="323"/>
    </row>
    <row r="692" spans="23:81" x14ac:dyDescent="0.35">
      <c r="W692" s="305"/>
      <c r="X692" s="323"/>
      <c r="Y692" s="323"/>
      <c r="Z692" s="323"/>
      <c r="AA692" s="323"/>
      <c r="AB692" s="323"/>
      <c r="AC692" s="323"/>
      <c r="AD692" s="323"/>
      <c r="AE692" s="323"/>
      <c r="AF692" s="323"/>
      <c r="AG692" s="323"/>
      <c r="AH692" s="323"/>
      <c r="AI692" s="323"/>
      <c r="AJ692" s="323"/>
      <c r="AK692" s="323"/>
      <c r="AL692" s="323"/>
      <c r="AM692" s="323"/>
      <c r="AN692" s="457"/>
      <c r="AO692" s="457"/>
      <c r="AP692" s="457"/>
      <c r="AQ692" s="457"/>
      <c r="AR692" s="457"/>
      <c r="AS692" s="457"/>
      <c r="AT692" s="457"/>
      <c r="AU692" s="457"/>
      <c r="AV692" s="323"/>
      <c r="AW692" s="323"/>
      <c r="AX692" s="323"/>
      <c r="AY692" s="323"/>
      <c r="AZ692" s="323"/>
      <c r="BA692" s="323"/>
      <c r="BB692" s="323"/>
      <c r="BC692" s="323"/>
      <c r="BD692" s="323"/>
      <c r="BE692" s="323"/>
      <c r="BF692" s="323"/>
      <c r="BG692" s="323"/>
      <c r="BH692" s="323"/>
      <c r="BI692" s="323"/>
      <c r="BJ692" s="323"/>
      <c r="BK692" s="323"/>
      <c r="BL692" s="323"/>
      <c r="BM692" s="323"/>
      <c r="BN692" s="323"/>
      <c r="BO692" s="323"/>
      <c r="BP692" s="323"/>
      <c r="BQ692" s="323"/>
      <c r="BR692" s="323"/>
      <c r="BS692" s="323"/>
      <c r="BT692" s="323"/>
      <c r="BU692" s="323"/>
      <c r="BV692" s="323"/>
      <c r="BW692" s="323"/>
      <c r="BX692" s="323"/>
      <c r="BY692" s="323"/>
      <c r="BZ692" s="323"/>
      <c r="CA692" s="323"/>
      <c r="CB692" s="323"/>
      <c r="CC692" s="323"/>
    </row>
    <row r="693" spans="23:81" x14ac:dyDescent="0.35">
      <c r="W693" s="305"/>
      <c r="X693" s="323"/>
      <c r="Y693" s="323"/>
      <c r="Z693" s="323"/>
      <c r="AA693" s="323"/>
      <c r="AB693" s="323"/>
      <c r="AC693" s="323"/>
      <c r="AD693" s="323"/>
      <c r="AE693" s="323"/>
      <c r="AF693" s="323"/>
      <c r="AG693" s="323"/>
      <c r="AH693" s="323"/>
      <c r="AI693" s="323"/>
      <c r="AJ693" s="323"/>
      <c r="AK693" s="323"/>
      <c r="AL693" s="323"/>
      <c r="AM693" s="323"/>
      <c r="AN693" s="457"/>
      <c r="AO693" s="457"/>
      <c r="AP693" s="457"/>
      <c r="AQ693" s="457"/>
      <c r="AR693" s="457"/>
      <c r="AS693" s="457"/>
      <c r="AT693" s="457"/>
      <c r="AU693" s="457"/>
      <c r="AV693" s="323"/>
      <c r="AW693" s="323"/>
      <c r="AX693" s="323"/>
      <c r="AY693" s="323"/>
      <c r="AZ693" s="323"/>
      <c r="BA693" s="323"/>
      <c r="BB693" s="323"/>
      <c r="BC693" s="323"/>
      <c r="BD693" s="323"/>
      <c r="BE693" s="323"/>
      <c r="BF693" s="323"/>
      <c r="BG693" s="323"/>
      <c r="BH693" s="323"/>
      <c r="BI693" s="323"/>
      <c r="BJ693" s="323"/>
      <c r="BK693" s="323"/>
      <c r="BL693" s="323"/>
      <c r="BM693" s="323"/>
      <c r="BN693" s="323"/>
      <c r="BO693" s="323"/>
      <c r="BP693" s="323"/>
      <c r="BQ693" s="323"/>
      <c r="BR693" s="323"/>
      <c r="BS693" s="323"/>
      <c r="BT693" s="323"/>
      <c r="BU693" s="323"/>
      <c r="BV693" s="323"/>
      <c r="BW693" s="323"/>
      <c r="BX693" s="323"/>
      <c r="BY693" s="323"/>
      <c r="BZ693" s="323"/>
      <c r="CA693" s="323"/>
      <c r="CB693" s="323"/>
      <c r="CC693" s="323"/>
    </row>
    <row r="694" spans="23:81" x14ac:dyDescent="0.35">
      <c r="W694" s="305"/>
      <c r="X694" s="323"/>
      <c r="Y694" s="323"/>
      <c r="Z694" s="323"/>
      <c r="AA694" s="323"/>
      <c r="AB694" s="323"/>
      <c r="AC694" s="323"/>
      <c r="AD694" s="323"/>
      <c r="AE694" s="323"/>
      <c r="AF694" s="323"/>
      <c r="AG694" s="323"/>
      <c r="AH694" s="323"/>
      <c r="AI694" s="323"/>
      <c r="AJ694" s="323"/>
      <c r="AK694" s="323"/>
      <c r="AL694" s="323"/>
      <c r="AM694" s="323"/>
      <c r="AN694" s="457"/>
      <c r="AO694" s="457"/>
      <c r="AP694" s="457"/>
      <c r="AQ694" s="457"/>
      <c r="AR694" s="457"/>
      <c r="AS694" s="457"/>
      <c r="AT694" s="457"/>
      <c r="AU694" s="457"/>
      <c r="AV694" s="323"/>
      <c r="AW694" s="323"/>
      <c r="AX694" s="323"/>
      <c r="AY694" s="323"/>
      <c r="AZ694" s="323"/>
      <c r="BA694" s="323"/>
      <c r="BB694" s="323"/>
      <c r="BC694" s="323"/>
      <c r="BD694" s="323"/>
      <c r="BE694" s="323"/>
      <c r="BF694" s="323"/>
      <c r="BG694" s="323"/>
      <c r="BH694" s="323"/>
      <c r="BI694" s="323"/>
      <c r="BJ694" s="323"/>
      <c r="BK694" s="323"/>
      <c r="BL694" s="323"/>
      <c r="BM694" s="323"/>
      <c r="BN694" s="323"/>
      <c r="BO694" s="323"/>
      <c r="BP694" s="323"/>
      <c r="BQ694" s="323"/>
      <c r="BR694" s="323"/>
      <c r="BS694" s="323"/>
      <c r="BT694" s="323"/>
      <c r="BU694" s="323"/>
      <c r="BV694" s="323"/>
      <c r="BW694" s="323"/>
      <c r="BX694" s="323"/>
      <c r="BY694" s="323"/>
      <c r="BZ694" s="323"/>
      <c r="CA694" s="323"/>
      <c r="CB694" s="323"/>
      <c r="CC694" s="323"/>
    </row>
    <row r="695" spans="23:81" x14ac:dyDescent="0.35">
      <c r="W695" s="305"/>
      <c r="X695" s="323"/>
      <c r="Y695" s="323"/>
      <c r="Z695" s="323"/>
      <c r="AA695" s="323"/>
      <c r="AB695" s="323"/>
      <c r="AC695" s="323"/>
      <c r="AD695" s="323"/>
      <c r="AE695" s="323"/>
      <c r="AF695" s="323"/>
      <c r="AG695" s="323"/>
      <c r="AH695" s="323"/>
      <c r="AI695" s="323"/>
      <c r="AJ695" s="323"/>
      <c r="AK695" s="323"/>
      <c r="AL695" s="323"/>
      <c r="AM695" s="323"/>
      <c r="AN695" s="457"/>
      <c r="AO695" s="457"/>
      <c r="AP695" s="457"/>
      <c r="AQ695" s="457"/>
      <c r="AR695" s="457"/>
      <c r="AS695" s="457"/>
      <c r="AT695" s="457"/>
      <c r="AU695" s="457"/>
      <c r="AV695" s="323"/>
      <c r="AW695" s="323"/>
      <c r="AX695" s="323"/>
      <c r="AY695" s="323"/>
      <c r="AZ695" s="323"/>
      <c r="BA695" s="323"/>
      <c r="BB695" s="323"/>
      <c r="BC695" s="323"/>
      <c r="BD695" s="323"/>
      <c r="BE695" s="323"/>
      <c r="BF695" s="323"/>
      <c r="BG695" s="323"/>
      <c r="BH695" s="323"/>
      <c r="BI695" s="323"/>
      <c r="BJ695" s="323"/>
      <c r="BK695" s="323"/>
      <c r="BL695" s="323"/>
      <c r="BM695" s="323"/>
      <c r="BN695" s="323"/>
      <c r="BO695" s="323"/>
      <c r="BP695" s="323"/>
      <c r="BQ695" s="323"/>
      <c r="BR695" s="323"/>
      <c r="BS695" s="323"/>
      <c r="BT695" s="323"/>
      <c r="BU695" s="323"/>
      <c r="BV695" s="323"/>
      <c r="BW695" s="323"/>
      <c r="BX695" s="323"/>
      <c r="BY695" s="323"/>
      <c r="BZ695" s="323"/>
      <c r="CA695" s="323"/>
      <c r="CB695" s="323"/>
      <c r="CC695" s="323"/>
    </row>
    <row r="696" spans="23:81" x14ac:dyDescent="0.35">
      <c r="W696" s="305"/>
      <c r="X696" s="323"/>
      <c r="Y696" s="323"/>
      <c r="Z696" s="323"/>
      <c r="AA696" s="323"/>
      <c r="AB696" s="323"/>
      <c r="AC696" s="323"/>
      <c r="AD696" s="323"/>
      <c r="AE696" s="323"/>
      <c r="AF696" s="323"/>
      <c r="AG696" s="323"/>
      <c r="AH696" s="323"/>
      <c r="AI696" s="323"/>
      <c r="AJ696" s="323"/>
      <c r="AK696" s="323"/>
      <c r="AL696" s="323"/>
      <c r="AM696" s="323"/>
      <c r="AN696" s="457"/>
      <c r="AO696" s="457"/>
      <c r="AP696" s="457"/>
      <c r="AQ696" s="457"/>
      <c r="AR696" s="457"/>
      <c r="AS696" s="457"/>
      <c r="AT696" s="457"/>
      <c r="AU696" s="457"/>
      <c r="AV696" s="323"/>
      <c r="AW696" s="323"/>
      <c r="AX696" s="323"/>
      <c r="AY696" s="323"/>
      <c r="AZ696" s="323"/>
      <c r="BA696" s="323"/>
      <c r="BB696" s="323"/>
      <c r="BC696" s="323"/>
      <c r="BD696" s="323"/>
      <c r="BE696" s="323"/>
      <c r="BF696" s="323"/>
      <c r="BG696" s="323"/>
      <c r="BH696" s="323"/>
      <c r="BI696" s="323"/>
      <c r="BJ696" s="323"/>
      <c r="BK696" s="323"/>
      <c r="BL696" s="323"/>
      <c r="BM696" s="323"/>
      <c r="BN696" s="323"/>
      <c r="BO696" s="323"/>
      <c r="BP696" s="323"/>
      <c r="BQ696" s="323"/>
      <c r="BR696" s="323"/>
      <c r="BS696" s="323"/>
      <c r="BT696" s="323"/>
      <c r="BU696" s="323"/>
      <c r="BV696" s="323"/>
      <c r="BW696" s="323"/>
      <c r="BX696" s="323"/>
      <c r="BY696" s="323"/>
      <c r="BZ696" s="323"/>
      <c r="CA696" s="323"/>
      <c r="CB696" s="323"/>
      <c r="CC696" s="323"/>
    </row>
    <row r="697" spans="23:81" x14ac:dyDescent="0.35">
      <c r="W697" s="305"/>
      <c r="X697" s="323"/>
      <c r="Y697" s="323"/>
      <c r="Z697" s="323"/>
      <c r="AA697" s="323"/>
      <c r="AB697" s="323"/>
      <c r="AC697" s="323"/>
      <c r="AD697" s="323"/>
      <c r="AE697" s="323"/>
      <c r="AF697" s="323"/>
      <c r="AG697" s="323"/>
      <c r="AH697" s="323"/>
      <c r="AI697" s="323"/>
      <c r="AJ697" s="323"/>
      <c r="AK697" s="323"/>
      <c r="AL697" s="323"/>
      <c r="AM697" s="323"/>
      <c r="AN697" s="457"/>
      <c r="AO697" s="457"/>
      <c r="AP697" s="457"/>
      <c r="AQ697" s="457"/>
      <c r="AR697" s="457"/>
      <c r="AS697" s="457"/>
      <c r="AT697" s="457"/>
      <c r="AU697" s="457"/>
      <c r="AV697" s="323"/>
      <c r="AW697" s="323"/>
      <c r="AX697" s="323"/>
      <c r="AY697" s="323"/>
      <c r="AZ697" s="323"/>
      <c r="BA697" s="323"/>
      <c r="BB697" s="323"/>
      <c r="BC697" s="323"/>
      <c r="BD697" s="323"/>
      <c r="BE697" s="323"/>
      <c r="BF697" s="323"/>
      <c r="BG697" s="323"/>
      <c r="BH697" s="323"/>
      <c r="BI697" s="323"/>
      <c r="BJ697" s="323"/>
      <c r="BK697" s="323"/>
      <c r="BL697" s="323"/>
      <c r="BM697" s="323"/>
      <c r="BN697" s="323"/>
      <c r="BO697" s="323"/>
      <c r="BP697" s="323"/>
      <c r="BQ697" s="323"/>
      <c r="BR697" s="323"/>
      <c r="BS697" s="323"/>
      <c r="BT697" s="323"/>
      <c r="BU697" s="323"/>
      <c r="BV697" s="323"/>
      <c r="BW697" s="323"/>
      <c r="BX697" s="323"/>
      <c r="BY697" s="323"/>
      <c r="BZ697" s="323"/>
      <c r="CA697" s="323"/>
      <c r="CB697" s="323"/>
      <c r="CC697" s="323"/>
    </row>
    <row r="698" spans="23:81" x14ac:dyDescent="0.35">
      <c r="W698" s="305"/>
      <c r="X698" s="323"/>
      <c r="Y698" s="323"/>
      <c r="Z698" s="323"/>
      <c r="AA698" s="323"/>
      <c r="AB698" s="323"/>
      <c r="AC698" s="323"/>
      <c r="AD698" s="323"/>
      <c r="AE698" s="323"/>
      <c r="AF698" s="323"/>
      <c r="AG698" s="323"/>
      <c r="AH698" s="323"/>
      <c r="AI698" s="323"/>
      <c r="AJ698" s="323"/>
      <c r="AK698" s="323"/>
      <c r="AL698" s="323"/>
      <c r="AM698" s="323"/>
      <c r="AN698" s="457"/>
      <c r="AO698" s="457"/>
      <c r="AP698" s="457"/>
      <c r="AQ698" s="457"/>
      <c r="AR698" s="457"/>
      <c r="AS698" s="457"/>
      <c r="AT698" s="457"/>
      <c r="AU698" s="457"/>
      <c r="AV698" s="323"/>
      <c r="AW698" s="323"/>
      <c r="AX698" s="323"/>
      <c r="AY698" s="323"/>
      <c r="AZ698" s="323"/>
      <c r="BA698" s="323"/>
      <c r="BB698" s="323"/>
      <c r="BC698" s="323"/>
      <c r="BD698" s="323"/>
      <c r="BE698" s="323"/>
      <c r="BF698" s="323"/>
      <c r="BG698" s="323"/>
      <c r="BH698" s="323"/>
      <c r="BI698" s="323"/>
      <c r="BJ698" s="323"/>
      <c r="BK698" s="323"/>
      <c r="BL698" s="323"/>
      <c r="BM698" s="323"/>
      <c r="BN698" s="323"/>
      <c r="BO698" s="323"/>
      <c r="BP698" s="323"/>
      <c r="BQ698" s="323"/>
      <c r="BR698" s="323"/>
      <c r="BS698" s="323"/>
      <c r="BT698" s="323"/>
      <c r="BU698" s="323"/>
      <c r="BV698" s="323"/>
      <c r="BW698" s="323"/>
      <c r="BX698" s="323"/>
      <c r="BY698" s="323"/>
      <c r="BZ698" s="323"/>
      <c r="CA698" s="323"/>
      <c r="CB698" s="323"/>
      <c r="CC698" s="323"/>
    </row>
    <row r="699" spans="23:81" x14ac:dyDescent="0.35">
      <c r="W699" s="305"/>
      <c r="X699" s="323"/>
      <c r="Y699" s="323"/>
      <c r="Z699" s="323"/>
      <c r="AA699" s="323"/>
      <c r="AB699" s="323"/>
      <c r="AC699" s="323"/>
      <c r="AD699" s="323"/>
      <c r="AE699" s="323"/>
      <c r="AF699" s="323"/>
      <c r="AG699" s="323"/>
      <c r="AH699" s="323"/>
      <c r="AI699" s="323"/>
      <c r="AJ699" s="323"/>
      <c r="AK699" s="323"/>
      <c r="AL699" s="323"/>
      <c r="AM699" s="323"/>
      <c r="AN699" s="457"/>
      <c r="AO699" s="457"/>
      <c r="AP699" s="457"/>
      <c r="AQ699" s="457"/>
      <c r="AR699" s="457"/>
      <c r="AS699" s="457"/>
      <c r="AT699" s="457"/>
      <c r="AU699" s="457"/>
      <c r="AV699" s="323"/>
      <c r="AW699" s="323"/>
      <c r="AX699" s="323"/>
      <c r="AY699" s="323"/>
      <c r="AZ699" s="323"/>
      <c r="BA699" s="323"/>
      <c r="BB699" s="323"/>
      <c r="BC699" s="323"/>
      <c r="BD699" s="323"/>
      <c r="BE699" s="323"/>
      <c r="BF699" s="323"/>
      <c r="BG699" s="323"/>
      <c r="BH699" s="323"/>
      <c r="BI699" s="323"/>
      <c r="BJ699" s="323"/>
      <c r="BK699" s="323"/>
      <c r="BL699" s="323"/>
      <c r="BM699" s="323"/>
      <c r="BN699" s="323"/>
      <c r="BO699" s="323"/>
      <c r="BP699" s="323"/>
      <c r="BQ699" s="323"/>
      <c r="BR699" s="323"/>
      <c r="BS699" s="323"/>
      <c r="BT699" s="323"/>
      <c r="BU699" s="323"/>
      <c r="BV699" s="323"/>
      <c r="BW699" s="323"/>
      <c r="BX699" s="323"/>
      <c r="BY699" s="323"/>
      <c r="BZ699" s="323"/>
      <c r="CA699" s="323"/>
      <c r="CB699" s="323"/>
      <c r="CC699" s="323"/>
    </row>
    <row r="700" spans="23:81" x14ac:dyDescent="0.35">
      <c r="W700" s="305"/>
      <c r="X700" s="323"/>
      <c r="Y700" s="323"/>
      <c r="Z700" s="323"/>
      <c r="AA700" s="323"/>
      <c r="AB700" s="323"/>
      <c r="AC700" s="323"/>
      <c r="AD700" s="323"/>
      <c r="AE700" s="323"/>
      <c r="AF700" s="323"/>
      <c r="AG700" s="323"/>
      <c r="AH700" s="323"/>
      <c r="AI700" s="323"/>
      <c r="AJ700" s="323"/>
      <c r="AK700" s="323"/>
      <c r="AL700" s="323"/>
      <c r="AM700" s="323"/>
      <c r="AN700" s="457"/>
      <c r="AO700" s="457"/>
      <c r="AP700" s="457"/>
      <c r="AQ700" s="457"/>
      <c r="AR700" s="457"/>
      <c r="AS700" s="457"/>
      <c r="AT700" s="457"/>
      <c r="AU700" s="457"/>
      <c r="AV700" s="323"/>
      <c r="AW700" s="323"/>
      <c r="AX700" s="323"/>
      <c r="AY700" s="323"/>
      <c r="AZ700" s="323"/>
      <c r="BA700" s="323"/>
      <c r="BB700" s="323"/>
      <c r="BC700" s="323"/>
      <c r="BD700" s="323"/>
      <c r="BE700" s="323"/>
      <c r="BF700" s="323"/>
      <c r="BG700" s="323"/>
      <c r="BH700" s="323"/>
      <c r="BI700" s="323"/>
      <c r="BJ700" s="323"/>
      <c r="BK700" s="323"/>
      <c r="BL700" s="323"/>
      <c r="BM700" s="323"/>
      <c r="BN700" s="323"/>
      <c r="BO700" s="323"/>
      <c r="BP700" s="323"/>
      <c r="BQ700" s="323"/>
      <c r="BR700" s="323"/>
      <c r="BS700" s="323"/>
      <c r="BT700" s="323"/>
      <c r="BU700" s="323"/>
      <c r="BV700" s="323"/>
      <c r="BW700" s="323"/>
      <c r="BX700" s="323"/>
      <c r="BY700" s="323"/>
      <c r="BZ700" s="323"/>
      <c r="CA700" s="323"/>
      <c r="CB700" s="323"/>
      <c r="CC700" s="323"/>
    </row>
    <row r="701" spans="23:81" x14ac:dyDescent="0.35">
      <c r="W701" s="305"/>
      <c r="X701" s="323"/>
      <c r="Y701" s="323"/>
      <c r="Z701" s="323"/>
      <c r="AA701" s="323"/>
      <c r="AB701" s="323"/>
      <c r="AC701" s="323"/>
      <c r="AD701" s="323"/>
      <c r="AE701" s="323"/>
      <c r="AF701" s="323"/>
      <c r="AG701" s="323"/>
      <c r="AH701" s="323"/>
      <c r="AI701" s="323"/>
      <c r="AJ701" s="323"/>
      <c r="AK701" s="323"/>
      <c r="AL701" s="323"/>
      <c r="AM701" s="323"/>
      <c r="AN701" s="457"/>
      <c r="AO701" s="457"/>
      <c r="AP701" s="457"/>
      <c r="AQ701" s="457"/>
      <c r="AR701" s="457"/>
      <c r="AS701" s="457"/>
      <c r="AT701" s="457"/>
      <c r="AU701" s="457"/>
      <c r="AV701" s="323"/>
      <c r="AW701" s="323"/>
      <c r="AX701" s="323"/>
      <c r="AY701" s="323"/>
      <c r="AZ701" s="323"/>
      <c r="BA701" s="323"/>
      <c r="BB701" s="323"/>
      <c r="BC701" s="323"/>
      <c r="BD701" s="323"/>
      <c r="BE701" s="323"/>
      <c r="BF701" s="323"/>
      <c r="BG701" s="323"/>
      <c r="BH701" s="323"/>
      <c r="BI701" s="323"/>
      <c r="BJ701" s="323"/>
      <c r="BK701" s="323"/>
      <c r="BL701" s="323"/>
      <c r="BM701" s="323"/>
      <c r="BN701" s="323"/>
      <c r="BO701" s="323"/>
      <c r="BP701" s="323"/>
      <c r="BQ701" s="323"/>
      <c r="BR701" s="323"/>
      <c r="BS701" s="323"/>
      <c r="BT701" s="323"/>
      <c r="BU701" s="323"/>
      <c r="BV701" s="323"/>
      <c r="BW701" s="323"/>
      <c r="BX701" s="323"/>
      <c r="BY701" s="323"/>
      <c r="BZ701" s="323"/>
      <c r="CA701" s="323"/>
      <c r="CB701" s="323"/>
      <c r="CC701" s="323"/>
    </row>
    <row r="702" spans="23:81" x14ac:dyDescent="0.35">
      <c r="W702" s="305"/>
      <c r="X702" s="323"/>
      <c r="Y702" s="323"/>
      <c r="Z702" s="323"/>
      <c r="AA702" s="323"/>
      <c r="AB702" s="323"/>
      <c r="AC702" s="323"/>
      <c r="AD702" s="323"/>
      <c r="AE702" s="323"/>
      <c r="AF702" s="323"/>
      <c r="AG702" s="323"/>
      <c r="AH702" s="323"/>
      <c r="AI702" s="323"/>
      <c r="AJ702" s="323"/>
      <c r="AK702" s="323"/>
      <c r="AL702" s="323"/>
      <c r="AM702" s="323"/>
      <c r="AN702" s="457"/>
      <c r="AO702" s="457"/>
      <c r="AP702" s="457"/>
      <c r="AQ702" s="457"/>
      <c r="AR702" s="457"/>
      <c r="AS702" s="457"/>
      <c r="AT702" s="457"/>
      <c r="AU702" s="457"/>
      <c r="AV702" s="323"/>
      <c r="AW702" s="323"/>
      <c r="AX702" s="323"/>
      <c r="AY702" s="323"/>
      <c r="AZ702" s="323"/>
      <c r="BA702" s="323"/>
      <c r="BB702" s="323"/>
      <c r="BC702" s="323"/>
      <c r="BD702" s="323"/>
      <c r="BE702" s="323"/>
      <c r="BF702" s="323"/>
      <c r="BG702" s="323"/>
      <c r="BH702" s="323"/>
      <c r="BI702" s="323"/>
      <c r="BJ702" s="323"/>
      <c r="BK702" s="323"/>
      <c r="BL702" s="323"/>
      <c r="BM702" s="323"/>
      <c r="BN702" s="323"/>
      <c r="BO702" s="323"/>
      <c r="BP702" s="323"/>
      <c r="BQ702" s="323"/>
      <c r="BR702" s="323"/>
      <c r="BS702" s="323"/>
      <c r="BT702" s="323"/>
      <c r="BU702" s="323"/>
      <c r="BV702" s="323"/>
      <c r="BW702" s="323"/>
      <c r="BX702" s="323"/>
      <c r="BY702" s="323"/>
      <c r="BZ702" s="323"/>
      <c r="CA702" s="323"/>
      <c r="CB702" s="323"/>
      <c r="CC702" s="323"/>
    </row>
    <row r="703" spans="23:81" x14ac:dyDescent="0.35">
      <c r="W703" s="305"/>
      <c r="X703" s="323"/>
      <c r="Y703" s="323"/>
      <c r="Z703" s="323"/>
      <c r="AA703" s="323"/>
      <c r="AB703" s="323"/>
      <c r="AC703" s="323"/>
      <c r="AD703" s="323"/>
      <c r="AE703" s="323"/>
      <c r="AF703" s="323"/>
      <c r="AG703" s="323"/>
      <c r="AH703" s="323"/>
      <c r="AI703" s="323"/>
      <c r="AJ703" s="323"/>
      <c r="AK703" s="323"/>
      <c r="AL703" s="323"/>
      <c r="AM703" s="323"/>
      <c r="AN703" s="457"/>
      <c r="AO703" s="457"/>
      <c r="AP703" s="457"/>
      <c r="AQ703" s="457"/>
      <c r="AR703" s="457"/>
      <c r="AS703" s="457"/>
      <c r="AT703" s="457"/>
      <c r="AU703" s="457"/>
      <c r="AV703" s="323"/>
      <c r="AW703" s="323"/>
      <c r="AX703" s="323"/>
      <c r="AY703" s="323"/>
      <c r="AZ703" s="323"/>
      <c r="BA703" s="323"/>
      <c r="BB703" s="323"/>
      <c r="BC703" s="323"/>
      <c r="BD703" s="323"/>
      <c r="BE703" s="323"/>
      <c r="BF703" s="323"/>
      <c r="BG703" s="323"/>
      <c r="BH703" s="323"/>
      <c r="BI703" s="323"/>
      <c r="BJ703" s="323"/>
      <c r="BK703" s="323"/>
      <c r="BL703" s="323"/>
      <c r="BM703" s="323"/>
      <c r="BN703" s="323"/>
      <c r="BO703" s="323"/>
      <c r="BP703" s="323"/>
      <c r="BQ703" s="323"/>
      <c r="BR703" s="323"/>
      <c r="BS703" s="323"/>
      <c r="BT703" s="323"/>
      <c r="BU703" s="323"/>
      <c r="BV703" s="323"/>
      <c r="BW703" s="323"/>
      <c r="BX703" s="323"/>
      <c r="BY703" s="323"/>
      <c r="BZ703" s="323"/>
      <c r="CA703" s="323"/>
      <c r="CB703" s="323"/>
      <c r="CC703" s="323"/>
    </row>
    <row r="704" spans="23:81" x14ac:dyDescent="0.35">
      <c r="W704" s="305"/>
      <c r="X704" s="323"/>
      <c r="Y704" s="323"/>
      <c r="Z704" s="323"/>
      <c r="AA704" s="323"/>
      <c r="AB704" s="323"/>
      <c r="AC704" s="323"/>
      <c r="AD704" s="323"/>
      <c r="AE704" s="323"/>
      <c r="AF704" s="323"/>
      <c r="AG704" s="323"/>
      <c r="AH704" s="323"/>
      <c r="AI704" s="323"/>
      <c r="AJ704" s="323"/>
      <c r="AK704" s="323"/>
      <c r="AL704" s="323"/>
      <c r="AM704" s="323"/>
      <c r="AN704" s="457"/>
      <c r="AO704" s="457"/>
      <c r="AP704" s="457"/>
      <c r="AQ704" s="457"/>
      <c r="AR704" s="457"/>
      <c r="AS704" s="457"/>
      <c r="AT704" s="457"/>
      <c r="AU704" s="457"/>
      <c r="AV704" s="323"/>
      <c r="AW704" s="323"/>
      <c r="AX704" s="323"/>
      <c r="AY704" s="323"/>
      <c r="AZ704" s="323"/>
      <c r="BA704" s="323"/>
      <c r="BB704" s="323"/>
      <c r="BC704" s="323"/>
      <c r="BD704" s="323"/>
      <c r="BE704" s="323"/>
      <c r="BF704" s="323"/>
      <c r="BG704" s="323"/>
      <c r="BH704" s="323"/>
      <c r="BI704" s="323"/>
      <c r="BJ704" s="323"/>
      <c r="BK704" s="323"/>
      <c r="BL704" s="323"/>
      <c r="BM704" s="323"/>
      <c r="BN704" s="323"/>
      <c r="BO704" s="323"/>
      <c r="BP704" s="323"/>
      <c r="BQ704" s="323"/>
      <c r="BR704" s="323"/>
      <c r="BS704" s="323"/>
      <c r="BT704" s="323"/>
      <c r="BU704" s="323"/>
      <c r="BV704" s="323"/>
      <c r="BW704" s="323"/>
      <c r="BX704" s="323"/>
      <c r="BY704" s="323"/>
      <c r="BZ704" s="323"/>
      <c r="CA704" s="323"/>
      <c r="CB704" s="323"/>
      <c r="CC704" s="323"/>
    </row>
    <row r="705" spans="23:81" x14ac:dyDescent="0.35">
      <c r="W705" s="305"/>
      <c r="X705" s="323"/>
      <c r="Y705" s="323"/>
      <c r="Z705" s="323"/>
      <c r="AA705" s="323"/>
      <c r="AB705" s="323"/>
      <c r="AC705" s="323"/>
      <c r="AD705" s="323"/>
      <c r="AE705" s="323"/>
      <c r="AF705" s="323"/>
      <c r="AG705" s="323"/>
      <c r="AH705" s="323"/>
      <c r="AI705" s="323"/>
      <c r="AJ705" s="323"/>
      <c r="AK705" s="323"/>
      <c r="AL705" s="323"/>
      <c r="AM705" s="323"/>
      <c r="AN705" s="457"/>
      <c r="AO705" s="457"/>
      <c r="AP705" s="457"/>
      <c r="AQ705" s="457"/>
      <c r="AR705" s="457"/>
      <c r="AS705" s="457"/>
      <c r="AT705" s="457"/>
      <c r="AU705" s="457"/>
      <c r="AV705" s="323"/>
      <c r="AW705" s="323"/>
      <c r="AX705" s="323"/>
      <c r="AY705" s="323"/>
      <c r="AZ705" s="323"/>
      <c r="BA705" s="323"/>
      <c r="BB705" s="323"/>
      <c r="BC705" s="323"/>
      <c r="BD705" s="323"/>
      <c r="BE705" s="323"/>
      <c r="BF705" s="323"/>
      <c r="BG705" s="323"/>
      <c r="BH705" s="323"/>
      <c r="BI705" s="323"/>
      <c r="BJ705" s="323"/>
      <c r="BK705" s="323"/>
      <c r="BL705" s="323"/>
      <c r="BM705" s="323"/>
      <c r="BN705" s="323"/>
      <c r="BO705" s="323"/>
      <c r="BP705" s="323"/>
      <c r="BQ705" s="323"/>
      <c r="BR705" s="323"/>
      <c r="BS705" s="323"/>
      <c r="BT705" s="323"/>
      <c r="BU705" s="323"/>
      <c r="BV705" s="323"/>
      <c r="BW705" s="323"/>
      <c r="BX705" s="323"/>
      <c r="BY705" s="323"/>
      <c r="BZ705" s="323"/>
      <c r="CA705" s="323"/>
      <c r="CB705" s="323"/>
      <c r="CC705" s="323"/>
    </row>
    <row r="706" spans="23:81" x14ac:dyDescent="0.35">
      <c r="W706" s="305"/>
      <c r="X706" s="323"/>
      <c r="Y706" s="323"/>
      <c r="Z706" s="323"/>
      <c r="AA706" s="323"/>
      <c r="AB706" s="323"/>
      <c r="AC706" s="323"/>
      <c r="AD706" s="323"/>
      <c r="AE706" s="323"/>
      <c r="AF706" s="323"/>
      <c r="AG706" s="323"/>
      <c r="AH706" s="323"/>
      <c r="AI706" s="323"/>
      <c r="AJ706" s="323"/>
      <c r="AK706" s="323"/>
      <c r="AL706" s="323"/>
      <c r="AM706" s="323"/>
      <c r="AN706" s="457"/>
      <c r="AO706" s="457"/>
      <c r="AP706" s="457"/>
      <c r="AQ706" s="457"/>
      <c r="AR706" s="457"/>
      <c r="AS706" s="457"/>
      <c r="AT706" s="457"/>
      <c r="AU706" s="457"/>
      <c r="AV706" s="323"/>
      <c r="AW706" s="323"/>
      <c r="AX706" s="323"/>
      <c r="AY706" s="323"/>
      <c r="AZ706" s="323"/>
      <c r="BA706" s="323"/>
      <c r="BB706" s="323"/>
      <c r="BC706" s="323"/>
      <c r="BD706" s="323"/>
      <c r="BE706" s="323"/>
      <c r="BF706" s="323"/>
      <c r="BG706" s="323"/>
      <c r="BH706" s="323"/>
      <c r="BI706" s="323"/>
      <c r="BJ706" s="323"/>
      <c r="BK706" s="323"/>
      <c r="BL706" s="323"/>
      <c r="BM706" s="323"/>
      <c r="BN706" s="323"/>
      <c r="BO706" s="323"/>
      <c r="BP706" s="323"/>
      <c r="BQ706" s="323"/>
      <c r="BR706" s="323"/>
      <c r="BS706" s="323"/>
      <c r="BT706" s="323"/>
      <c r="BU706" s="323"/>
      <c r="BV706" s="323"/>
      <c r="BW706" s="323"/>
      <c r="BX706" s="323"/>
      <c r="BY706" s="323"/>
      <c r="BZ706" s="323"/>
      <c r="CA706" s="323"/>
      <c r="CB706" s="323"/>
      <c r="CC706" s="323"/>
    </row>
    <row r="707" spans="23:81" x14ac:dyDescent="0.35">
      <c r="W707" s="305"/>
      <c r="X707" s="323"/>
      <c r="Y707" s="323"/>
      <c r="Z707" s="323"/>
      <c r="AA707" s="323"/>
      <c r="AB707" s="323"/>
      <c r="AC707" s="323"/>
      <c r="AD707" s="323"/>
      <c r="AE707" s="323"/>
      <c r="AF707" s="323"/>
      <c r="AG707" s="323"/>
      <c r="AH707" s="323"/>
      <c r="AI707" s="323"/>
      <c r="AJ707" s="323"/>
      <c r="AK707" s="323"/>
      <c r="AL707" s="323"/>
      <c r="AM707" s="323"/>
      <c r="AN707" s="457"/>
      <c r="AO707" s="457"/>
      <c r="AP707" s="457"/>
      <c r="AQ707" s="457"/>
      <c r="AR707" s="457"/>
      <c r="AS707" s="457"/>
      <c r="AT707" s="457"/>
      <c r="AU707" s="457"/>
      <c r="AV707" s="323"/>
      <c r="AW707" s="323"/>
      <c r="AX707" s="323"/>
      <c r="AY707" s="323"/>
      <c r="AZ707" s="323"/>
      <c r="BA707" s="323"/>
      <c r="BB707" s="323"/>
      <c r="BC707" s="323"/>
      <c r="BD707" s="323"/>
      <c r="BE707" s="323"/>
      <c r="BF707" s="323"/>
      <c r="BG707" s="323"/>
      <c r="BH707" s="323"/>
      <c r="BI707" s="323"/>
      <c r="BJ707" s="323"/>
      <c r="BK707" s="323"/>
      <c r="BL707" s="323"/>
      <c r="BM707" s="323"/>
      <c r="BN707" s="323"/>
      <c r="BO707" s="323"/>
      <c r="BP707" s="323"/>
      <c r="BQ707" s="323"/>
      <c r="BR707" s="323"/>
      <c r="BS707" s="323"/>
      <c r="BT707" s="323"/>
      <c r="BU707" s="323"/>
      <c r="BV707" s="323"/>
      <c r="BW707" s="323"/>
      <c r="BX707" s="323"/>
      <c r="BY707" s="323"/>
      <c r="BZ707" s="323"/>
      <c r="CA707" s="323"/>
      <c r="CB707" s="323"/>
      <c r="CC707" s="323"/>
    </row>
    <row r="708" spans="23:81" x14ac:dyDescent="0.35">
      <c r="W708" s="305"/>
      <c r="X708" s="323"/>
      <c r="Y708" s="323"/>
      <c r="Z708" s="323"/>
      <c r="AA708" s="323"/>
      <c r="AB708" s="323"/>
      <c r="AC708" s="323"/>
      <c r="AD708" s="323"/>
      <c r="AE708" s="323"/>
      <c r="AF708" s="323"/>
      <c r="AG708" s="323"/>
      <c r="AH708" s="323"/>
      <c r="AI708" s="323"/>
      <c r="AJ708" s="323"/>
      <c r="AK708" s="323"/>
      <c r="AL708" s="323"/>
      <c r="AM708" s="323"/>
      <c r="AN708" s="457"/>
      <c r="AO708" s="457"/>
      <c r="AP708" s="457"/>
      <c r="AQ708" s="457"/>
      <c r="AR708" s="457"/>
      <c r="AS708" s="457"/>
      <c r="AT708" s="457"/>
      <c r="AU708" s="457"/>
      <c r="AV708" s="323"/>
      <c r="AW708" s="323"/>
      <c r="AX708" s="323"/>
      <c r="AY708" s="323"/>
      <c r="AZ708" s="323"/>
      <c r="BA708" s="323"/>
      <c r="BB708" s="323"/>
      <c r="BC708" s="323"/>
      <c r="BD708" s="323"/>
      <c r="BE708" s="323"/>
      <c r="BF708" s="323"/>
      <c r="BG708" s="323"/>
      <c r="BH708" s="323"/>
      <c r="BI708" s="323"/>
      <c r="BJ708" s="323"/>
      <c r="BK708" s="323"/>
      <c r="BL708" s="323"/>
      <c r="BM708" s="323"/>
      <c r="BN708" s="323"/>
      <c r="BO708" s="323"/>
      <c r="BP708" s="323"/>
      <c r="BQ708" s="323"/>
      <c r="BR708" s="323"/>
      <c r="BS708" s="323"/>
      <c r="BT708" s="323"/>
      <c r="BU708" s="323"/>
      <c r="BV708" s="323"/>
      <c r="BW708" s="323"/>
      <c r="BX708" s="323"/>
      <c r="BY708" s="323"/>
      <c r="BZ708" s="323"/>
      <c r="CA708" s="323"/>
      <c r="CB708" s="323"/>
      <c r="CC708" s="323"/>
    </row>
    <row r="709" spans="23:81" x14ac:dyDescent="0.35">
      <c r="W709" s="305"/>
      <c r="X709" s="323"/>
      <c r="Y709" s="323"/>
      <c r="Z709" s="323"/>
      <c r="AA709" s="323"/>
      <c r="AB709" s="323"/>
      <c r="AC709" s="323"/>
      <c r="AD709" s="323"/>
      <c r="AE709" s="323"/>
      <c r="AF709" s="323"/>
      <c r="AG709" s="323"/>
      <c r="AH709" s="323"/>
      <c r="AI709" s="323"/>
      <c r="AJ709" s="323"/>
      <c r="AK709" s="323"/>
      <c r="AL709" s="323"/>
      <c r="AM709" s="323"/>
      <c r="AN709" s="457"/>
      <c r="AO709" s="457"/>
      <c r="AP709" s="457"/>
      <c r="AQ709" s="457"/>
      <c r="AR709" s="457"/>
      <c r="AS709" s="457"/>
      <c r="AT709" s="457"/>
      <c r="AU709" s="457"/>
      <c r="AV709" s="323"/>
      <c r="AW709" s="323"/>
      <c r="AX709" s="323"/>
      <c r="AY709" s="323"/>
      <c r="AZ709" s="323"/>
      <c r="BA709" s="323"/>
      <c r="BB709" s="323"/>
      <c r="BC709" s="323"/>
      <c r="BD709" s="323"/>
      <c r="BE709" s="323"/>
      <c r="BF709" s="323"/>
      <c r="BG709" s="323"/>
      <c r="BH709" s="323"/>
      <c r="BI709" s="323"/>
      <c r="BJ709" s="323"/>
      <c r="BK709" s="323"/>
      <c r="BL709" s="323"/>
      <c r="BM709" s="323"/>
      <c r="BN709" s="323"/>
      <c r="BO709" s="323"/>
      <c r="BP709" s="323"/>
      <c r="BQ709" s="323"/>
      <c r="BR709" s="323"/>
      <c r="BS709" s="323"/>
      <c r="BT709" s="323"/>
      <c r="BU709" s="323"/>
      <c r="BV709" s="323"/>
      <c r="BW709" s="323"/>
      <c r="BX709" s="323"/>
      <c r="BY709" s="323"/>
      <c r="BZ709" s="323"/>
      <c r="CA709" s="323"/>
      <c r="CB709" s="323"/>
      <c r="CC709" s="323"/>
    </row>
    <row r="710" spans="23:81" x14ac:dyDescent="0.35">
      <c r="W710" s="305"/>
      <c r="X710" s="323"/>
      <c r="Y710" s="323"/>
      <c r="Z710" s="323"/>
      <c r="AA710" s="323"/>
      <c r="AB710" s="323"/>
      <c r="AC710" s="323"/>
      <c r="AD710" s="323"/>
      <c r="AE710" s="323"/>
      <c r="AF710" s="323"/>
      <c r="AG710" s="323"/>
      <c r="AH710" s="323"/>
      <c r="AI710" s="323"/>
      <c r="AJ710" s="323"/>
      <c r="AK710" s="323"/>
      <c r="AL710" s="323"/>
      <c r="AM710" s="323"/>
      <c r="AN710" s="457"/>
      <c r="AO710" s="457"/>
      <c r="AP710" s="457"/>
      <c r="AQ710" s="457"/>
      <c r="AR710" s="457"/>
      <c r="AS710" s="457"/>
      <c r="AT710" s="457"/>
      <c r="AU710" s="457"/>
      <c r="AV710" s="323"/>
      <c r="AW710" s="323"/>
      <c r="AX710" s="323"/>
      <c r="AY710" s="323"/>
      <c r="AZ710" s="323"/>
      <c r="BA710" s="323"/>
      <c r="BB710" s="323"/>
      <c r="BC710" s="323"/>
      <c r="BD710" s="323"/>
      <c r="BE710" s="323"/>
      <c r="BF710" s="323"/>
      <c r="BG710" s="323"/>
      <c r="BH710" s="323"/>
      <c r="BI710" s="323"/>
      <c r="BJ710" s="323"/>
      <c r="BK710" s="323"/>
      <c r="BL710" s="323"/>
      <c r="BM710" s="323"/>
      <c r="BN710" s="323"/>
      <c r="BO710" s="323"/>
      <c r="BP710" s="323"/>
      <c r="BQ710" s="323"/>
      <c r="BR710" s="323"/>
      <c r="BS710" s="323"/>
      <c r="BT710" s="323"/>
      <c r="BU710" s="323"/>
      <c r="BV710" s="323"/>
      <c r="BW710" s="323"/>
      <c r="BX710" s="323"/>
      <c r="BY710" s="323"/>
      <c r="BZ710" s="323"/>
      <c r="CA710" s="323"/>
      <c r="CB710" s="323"/>
      <c r="CC710" s="323"/>
    </row>
    <row r="711" spans="23:81" x14ac:dyDescent="0.35">
      <c r="W711" s="305"/>
      <c r="X711" s="323"/>
      <c r="Y711" s="323"/>
      <c r="Z711" s="323"/>
      <c r="AA711" s="323"/>
      <c r="AB711" s="323"/>
      <c r="AC711" s="323"/>
      <c r="AD711" s="323"/>
      <c r="AE711" s="323"/>
      <c r="AF711" s="323"/>
      <c r="AG711" s="323"/>
      <c r="AH711" s="323"/>
      <c r="AI711" s="323"/>
      <c r="AJ711" s="323"/>
      <c r="AK711" s="323"/>
      <c r="AL711" s="323"/>
      <c r="AM711" s="323"/>
      <c r="AN711" s="457"/>
      <c r="AO711" s="457"/>
      <c r="AP711" s="457"/>
      <c r="AQ711" s="457"/>
      <c r="AR711" s="457"/>
      <c r="AS711" s="457"/>
      <c r="AT711" s="457"/>
      <c r="AU711" s="457"/>
      <c r="AV711" s="323"/>
      <c r="AW711" s="323"/>
      <c r="AX711" s="323"/>
      <c r="AY711" s="323"/>
      <c r="AZ711" s="323"/>
      <c r="BA711" s="323"/>
      <c r="BB711" s="323"/>
      <c r="BC711" s="323"/>
      <c r="BD711" s="323"/>
      <c r="BE711" s="323"/>
      <c r="BF711" s="323"/>
      <c r="BG711" s="323"/>
      <c r="BH711" s="323"/>
      <c r="BI711" s="323"/>
      <c r="BJ711" s="323"/>
      <c r="BK711" s="323"/>
      <c r="BL711" s="323"/>
      <c r="BM711" s="323"/>
      <c r="BN711" s="323"/>
      <c r="BO711" s="323"/>
      <c r="BP711" s="323"/>
      <c r="BQ711" s="323"/>
      <c r="BR711" s="323"/>
      <c r="BS711" s="323"/>
      <c r="BT711" s="323"/>
      <c r="BU711" s="323"/>
      <c r="BV711" s="323"/>
      <c r="BW711" s="323"/>
      <c r="BX711" s="323"/>
      <c r="BY711" s="323"/>
      <c r="BZ711" s="323"/>
      <c r="CA711" s="323"/>
      <c r="CB711" s="323"/>
      <c r="CC711" s="323"/>
    </row>
    <row r="712" spans="23:81" x14ac:dyDescent="0.35">
      <c r="W712" s="305"/>
      <c r="X712" s="323"/>
      <c r="Y712" s="323"/>
      <c r="Z712" s="323"/>
      <c r="AA712" s="323"/>
      <c r="AB712" s="323"/>
      <c r="AC712" s="323"/>
      <c r="AD712" s="323"/>
      <c r="AE712" s="323"/>
      <c r="AF712" s="323"/>
      <c r="AG712" s="323"/>
      <c r="AH712" s="323"/>
      <c r="AI712" s="323"/>
      <c r="AJ712" s="323"/>
      <c r="AK712" s="323"/>
      <c r="AL712" s="323"/>
      <c r="AM712" s="323"/>
      <c r="AN712" s="457"/>
      <c r="AO712" s="457"/>
      <c r="AP712" s="457"/>
      <c r="AQ712" s="457"/>
      <c r="AR712" s="457"/>
      <c r="AS712" s="457"/>
      <c r="AT712" s="457"/>
      <c r="AU712" s="457"/>
      <c r="AV712" s="323"/>
      <c r="AW712" s="323"/>
      <c r="AX712" s="323"/>
      <c r="AY712" s="323"/>
      <c r="AZ712" s="323"/>
      <c r="BA712" s="323"/>
      <c r="BB712" s="323"/>
      <c r="BC712" s="323"/>
      <c r="BD712" s="323"/>
      <c r="BE712" s="323"/>
      <c r="BF712" s="323"/>
      <c r="BG712" s="323"/>
      <c r="BH712" s="323"/>
      <c r="BI712" s="323"/>
      <c r="BJ712" s="323"/>
      <c r="BK712" s="323"/>
      <c r="BL712" s="323"/>
      <c r="BM712" s="323"/>
      <c r="BN712" s="323"/>
      <c r="BO712" s="323"/>
      <c r="BP712" s="323"/>
      <c r="BQ712" s="323"/>
      <c r="BR712" s="323"/>
      <c r="BS712" s="323"/>
      <c r="BT712" s="323"/>
      <c r="BU712" s="323"/>
      <c r="BV712" s="323"/>
      <c r="BW712" s="323"/>
      <c r="BX712" s="323"/>
      <c r="BY712" s="323"/>
      <c r="BZ712" s="323"/>
      <c r="CA712" s="323"/>
      <c r="CB712" s="323"/>
      <c r="CC712" s="323"/>
    </row>
    <row r="713" spans="23:81" x14ac:dyDescent="0.35">
      <c r="W713" s="305"/>
      <c r="X713" s="323"/>
      <c r="Y713" s="323"/>
      <c r="Z713" s="323"/>
      <c r="AA713" s="323"/>
      <c r="AB713" s="323"/>
      <c r="AC713" s="323"/>
      <c r="AD713" s="323"/>
      <c r="AE713" s="323"/>
      <c r="AF713" s="323"/>
      <c r="AG713" s="323"/>
      <c r="AH713" s="323"/>
      <c r="AI713" s="323"/>
      <c r="AJ713" s="323"/>
      <c r="AK713" s="323"/>
      <c r="AL713" s="323"/>
      <c r="AM713" s="323"/>
      <c r="AN713" s="457"/>
      <c r="AO713" s="457"/>
      <c r="AP713" s="457"/>
      <c r="AQ713" s="457"/>
      <c r="AR713" s="457"/>
      <c r="AS713" s="457"/>
      <c r="AT713" s="457"/>
      <c r="AU713" s="457"/>
      <c r="AV713" s="323"/>
      <c r="AW713" s="323"/>
      <c r="AX713" s="323"/>
      <c r="AY713" s="323"/>
      <c r="AZ713" s="323"/>
      <c r="BA713" s="323"/>
      <c r="BB713" s="323"/>
      <c r="BC713" s="323"/>
      <c r="BD713" s="323"/>
      <c r="BE713" s="323"/>
      <c r="BF713" s="323"/>
      <c r="BG713" s="323"/>
      <c r="BH713" s="323"/>
      <c r="BI713" s="323"/>
      <c r="BJ713" s="323"/>
      <c r="BK713" s="323"/>
      <c r="BL713" s="323"/>
      <c r="BM713" s="323"/>
      <c r="BN713" s="323"/>
      <c r="BO713" s="323"/>
      <c r="BP713" s="323"/>
      <c r="BQ713" s="323"/>
      <c r="BR713" s="323"/>
      <c r="BS713" s="323"/>
      <c r="BT713" s="323"/>
      <c r="BU713" s="323"/>
      <c r="BV713" s="323"/>
      <c r="BW713" s="323"/>
      <c r="BX713" s="323"/>
      <c r="BY713" s="323"/>
      <c r="BZ713" s="323"/>
      <c r="CA713" s="323"/>
      <c r="CB713" s="323"/>
      <c r="CC713" s="323"/>
    </row>
    <row r="714" spans="23:81" x14ac:dyDescent="0.35">
      <c r="W714" s="305"/>
      <c r="X714" s="323"/>
      <c r="Y714" s="323"/>
      <c r="Z714" s="323"/>
      <c r="AA714" s="323"/>
      <c r="AB714" s="323"/>
      <c r="AC714" s="323"/>
      <c r="AD714" s="323"/>
      <c r="AE714" s="323"/>
      <c r="AF714" s="323"/>
      <c r="AG714" s="323"/>
      <c r="AH714" s="323"/>
      <c r="AI714" s="323"/>
      <c r="AJ714" s="323"/>
      <c r="AK714" s="323"/>
      <c r="AL714" s="323"/>
      <c r="AM714" s="323"/>
      <c r="AN714" s="457"/>
      <c r="AO714" s="457"/>
      <c r="AP714" s="457"/>
      <c r="AQ714" s="457"/>
      <c r="AR714" s="457"/>
      <c r="AS714" s="457"/>
      <c r="AT714" s="457"/>
      <c r="AU714" s="457"/>
      <c r="AV714" s="323"/>
      <c r="AW714" s="323"/>
      <c r="AX714" s="323"/>
      <c r="AY714" s="323"/>
      <c r="AZ714" s="323"/>
      <c r="BA714" s="323"/>
      <c r="BB714" s="323"/>
      <c r="BC714" s="323"/>
      <c r="BD714" s="323"/>
      <c r="BE714" s="323"/>
      <c r="BF714" s="323"/>
      <c r="BG714" s="323"/>
      <c r="BH714" s="323"/>
      <c r="BI714" s="323"/>
      <c r="BJ714" s="323"/>
      <c r="BK714" s="323"/>
      <c r="BL714" s="323"/>
      <c r="BM714" s="323"/>
      <c r="BN714" s="323"/>
      <c r="BO714" s="323"/>
      <c r="BP714" s="323"/>
      <c r="BQ714" s="323"/>
      <c r="BR714" s="323"/>
      <c r="BS714" s="323"/>
      <c r="BT714" s="323"/>
      <c r="BU714" s="323"/>
      <c r="BV714" s="323"/>
      <c r="BW714" s="323"/>
      <c r="BX714" s="323"/>
      <c r="BY714" s="323"/>
      <c r="BZ714" s="323"/>
      <c r="CA714" s="323"/>
      <c r="CB714" s="323"/>
      <c r="CC714" s="323"/>
    </row>
    <row r="715" spans="23:81" x14ac:dyDescent="0.35">
      <c r="W715" s="305"/>
      <c r="X715" s="323"/>
      <c r="Y715" s="323"/>
      <c r="Z715" s="323"/>
      <c r="AA715" s="323"/>
      <c r="AB715" s="323"/>
      <c r="AC715" s="323"/>
      <c r="AD715" s="323"/>
      <c r="AE715" s="323"/>
      <c r="AF715" s="323"/>
      <c r="AG715" s="323"/>
      <c r="AH715" s="323"/>
      <c r="AI715" s="323"/>
      <c r="AJ715" s="323"/>
      <c r="AK715" s="323"/>
      <c r="AL715" s="323"/>
      <c r="AM715" s="323"/>
      <c r="AN715" s="457"/>
      <c r="AO715" s="457"/>
      <c r="AP715" s="457"/>
      <c r="AQ715" s="457"/>
      <c r="AR715" s="457"/>
      <c r="AS715" s="457"/>
      <c r="AT715" s="457"/>
      <c r="AU715" s="457"/>
      <c r="AV715" s="323"/>
      <c r="AW715" s="323"/>
      <c r="AX715" s="323"/>
      <c r="AY715" s="323"/>
      <c r="AZ715" s="323"/>
      <c r="BA715" s="323"/>
      <c r="BB715" s="323"/>
      <c r="BC715" s="323"/>
      <c r="BD715" s="323"/>
      <c r="BE715" s="323"/>
      <c r="BF715" s="323"/>
      <c r="BG715" s="323"/>
      <c r="BH715" s="323"/>
      <c r="BI715" s="323"/>
      <c r="BJ715" s="323"/>
      <c r="BK715" s="323"/>
      <c r="BL715" s="323"/>
      <c r="BM715" s="323"/>
      <c r="BN715" s="323"/>
      <c r="BO715" s="323"/>
      <c r="BP715" s="323"/>
      <c r="BQ715" s="323"/>
      <c r="BR715" s="323"/>
      <c r="BS715" s="323"/>
      <c r="BT715" s="323"/>
      <c r="BU715" s="323"/>
      <c r="BV715" s="323"/>
      <c r="BW715" s="323"/>
      <c r="BX715" s="323"/>
      <c r="BY715" s="323"/>
      <c r="BZ715" s="323"/>
      <c r="CA715" s="323"/>
      <c r="CB715" s="323"/>
      <c r="CC715" s="323"/>
    </row>
    <row r="716" spans="23:81" x14ac:dyDescent="0.35">
      <c r="W716" s="305"/>
      <c r="X716" s="323"/>
      <c r="Y716" s="323"/>
      <c r="Z716" s="323"/>
      <c r="AA716" s="323"/>
      <c r="AB716" s="323"/>
      <c r="AC716" s="323"/>
      <c r="AD716" s="323"/>
      <c r="AE716" s="323"/>
      <c r="AF716" s="323"/>
      <c r="AG716" s="323"/>
      <c r="AH716" s="323"/>
      <c r="AI716" s="323"/>
      <c r="AJ716" s="323"/>
      <c r="AK716" s="323"/>
      <c r="AL716" s="323"/>
      <c r="AM716" s="323"/>
      <c r="AN716" s="457"/>
      <c r="AO716" s="457"/>
      <c r="AP716" s="457"/>
      <c r="AQ716" s="457"/>
      <c r="AR716" s="457"/>
      <c r="AS716" s="457"/>
      <c r="AT716" s="457"/>
      <c r="AU716" s="457"/>
      <c r="AV716" s="323"/>
      <c r="AW716" s="323"/>
      <c r="AX716" s="323"/>
      <c r="AY716" s="323"/>
      <c r="AZ716" s="323"/>
      <c r="BA716" s="323"/>
      <c r="BB716" s="323"/>
      <c r="BC716" s="323"/>
      <c r="BD716" s="323"/>
      <c r="BE716" s="323"/>
      <c r="BF716" s="323"/>
      <c r="BG716" s="323"/>
      <c r="BH716" s="323"/>
      <c r="BI716" s="323"/>
      <c r="BJ716" s="323"/>
      <c r="BK716" s="323"/>
      <c r="BL716" s="323"/>
      <c r="BM716" s="323"/>
      <c r="BN716" s="323"/>
      <c r="BO716" s="323"/>
      <c r="BP716" s="323"/>
      <c r="BQ716" s="323"/>
      <c r="BR716" s="323"/>
      <c r="BS716" s="323"/>
      <c r="BT716" s="323"/>
      <c r="BU716" s="323"/>
      <c r="BV716" s="323"/>
      <c r="BW716" s="323"/>
      <c r="BX716" s="323"/>
      <c r="BY716" s="323"/>
      <c r="BZ716" s="323"/>
      <c r="CA716" s="323"/>
      <c r="CB716" s="323"/>
      <c r="CC716" s="323"/>
    </row>
    <row r="717" spans="23:81" x14ac:dyDescent="0.35">
      <c r="W717" s="305"/>
      <c r="X717" s="323"/>
      <c r="Y717" s="323"/>
      <c r="Z717" s="323"/>
      <c r="AA717" s="323"/>
      <c r="AB717" s="323"/>
      <c r="AC717" s="323"/>
      <c r="AD717" s="323"/>
      <c r="AE717" s="323"/>
      <c r="AF717" s="323"/>
      <c r="AG717" s="323"/>
      <c r="AH717" s="323"/>
      <c r="AI717" s="323"/>
      <c r="AJ717" s="323"/>
      <c r="AK717" s="323"/>
      <c r="AL717" s="323"/>
      <c r="AM717" s="323"/>
      <c r="AN717" s="457"/>
      <c r="AO717" s="457"/>
      <c r="AP717" s="457"/>
      <c r="AQ717" s="457"/>
      <c r="AR717" s="457"/>
      <c r="AS717" s="457"/>
      <c r="AT717" s="457"/>
      <c r="AU717" s="457"/>
      <c r="AV717" s="323"/>
      <c r="AW717" s="323"/>
      <c r="AX717" s="323"/>
      <c r="AY717" s="323"/>
      <c r="AZ717" s="323"/>
      <c r="BA717" s="323"/>
      <c r="BB717" s="323"/>
      <c r="BC717" s="323"/>
      <c r="BD717" s="323"/>
      <c r="BE717" s="323"/>
      <c r="BF717" s="323"/>
      <c r="BG717" s="323"/>
      <c r="BH717" s="323"/>
      <c r="BI717" s="323"/>
      <c r="BJ717" s="323"/>
      <c r="BK717" s="323"/>
      <c r="BL717" s="323"/>
      <c r="BM717" s="323"/>
      <c r="BN717" s="323"/>
      <c r="BO717" s="323"/>
      <c r="BP717" s="323"/>
      <c r="BQ717" s="323"/>
      <c r="BR717" s="323"/>
      <c r="BS717" s="323"/>
      <c r="BT717" s="323"/>
      <c r="BU717" s="323"/>
      <c r="BV717" s="323"/>
      <c r="BW717" s="323"/>
      <c r="BX717" s="323"/>
      <c r="BY717" s="323"/>
      <c r="BZ717" s="323"/>
      <c r="CA717" s="323"/>
      <c r="CB717" s="323"/>
      <c r="CC717" s="323"/>
    </row>
    <row r="718" spans="23:81" x14ac:dyDescent="0.35">
      <c r="W718" s="305"/>
      <c r="X718" s="323"/>
      <c r="Y718" s="323"/>
      <c r="Z718" s="323"/>
      <c r="AA718" s="323"/>
      <c r="AB718" s="323"/>
      <c r="AC718" s="323"/>
      <c r="AD718" s="323"/>
      <c r="AE718" s="323"/>
      <c r="AF718" s="323"/>
      <c r="AG718" s="323"/>
      <c r="AH718" s="323"/>
      <c r="AI718" s="323"/>
      <c r="AJ718" s="323"/>
      <c r="AK718" s="323"/>
      <c r="AL718" s="323"/>
      <c r="AM718" s="323"/>
      <c r="AN718" s="457"/>
      <c r="AO718" s="457"/>
      <c r="AP718" s="457"/>
      <c r="AQ718" s="457"/>
      <c r="AR718" s="457"/>
      <c r="AS718" s="457"/>
      <c r="AT718" s="457"/>
      <c r="AU718" s="457"/>
      <c r="AV718" s="323"/>
      <c r="AW718" s="323"/>
      <c r="AX718" s="323"/>
      <c r="AY718" s="323"/>
      <c r="AZ718" s="323"/>
      <c r="BA718" s="323"/>
      <c r="BB718" s="323"/>
      <c r="BC718" s="323"/>
      <c r="BD718" s="323"/>
      <c r="BE718" s="323"/>
      <c r="BF718" s="323"/>
      <c r="BG718" s="323"/>
      <c r="BH718" s="323"/>
      <c r="BI718" s="323"/>
      <c r="BJ718" s="323"/>
      <c r="BK718" s="323"/>
      <c r="BL718" s="323"/>
      <c r="BM718" s="323"/>
      <c r="BN718" s="323"/>
      <c r="BO718" s="323"/>
      <c r="BP718" s="323"/>
      <c r="BQ718" s="323"/>
      <c r="BR718" s="323"/>
      <c r="BS718" s="323"/>
      <c r="BT718" s="323"/>
      <c r="BU718" s="323"/>
      <c r="BV718" s="323"/>
      <c r="BW718" s="323"/>
      <c r="BX718" s="323"/>
      <c r="BY718" s="323"/>
      <c r="BZ718" s="323"/>
      <c r="CA718" s="323"/>
      <c r="CB718" s="323"/>
      <c r="CC718" s="323"/>
    </row>
    <row r="719" spans="23:81" x14ac:dyDescent="0.35">
      <c r="W719" s="305"/>
      <c r="X719" s="323"/>
      <c r="Y719" s="323"/>
      <c r="Z719" s="323"/>
      <c r="AA719" s="323"/>
      <c r="AB719" s="323"/>
      <c r="AC719" s="323"/>
      <c r="AD719" s="323"/>
      <c r="AE719" s="323"/>
      <c r="AF719" s="323"/>
      <c r="AG719" s="323"/>
      <c r="AH719" s="323"/>
      <c r="AI719" s="323"/>
      <c r="AJ719" s="323"/>
      <c r="AK719" s="323"/>
      <c r="AL719" s="323"/>
      <c r="AM719" s="323"/>
      <c r="AN719" s="457"/>
      <c r="AO719" s="457"/>
      <c r="AP719" s="457"/>
      <c r="AQ719" s="457"/>
      <c r="AR719" s="457"/>
      <c r="AS719" s="457"/>
      <c r="AT719" s="457"/>
      <c r="AU719" s="457"/>
      <c r="AV719" s="323"/>
      <c r="AW719" s="323"/>
      <c r="AX719" s="323"/>
      <c r="AY719" s="323"/>
      <c r="AZ719" s="323"/>
      <c r="BA719" s="323"/>
      <c r="BB719" s="323"/>
      <c r="BC719" s="323"/>
      <c r="BD719" s="323"/>
      <c r="BE719" s="323"/>
      <c r="BF719" s="323"/>
      <c r="BG719" s="323"/>
      <c r="BH719" s="323"/>
      <c r="BI719" s="323"/>
      <c r="BJ719" s="323"/>
      <c r="BK719" s="323"/>
      <c r="BL719" s="323"/>
      <c r="BM719" s="323"/>
      <c r="BN719" s="323"/>
      <c r="BO719" s="323"/>
      <c r="BP719" s="323"/>
      <c r="BQ719" s="323"/>
      <c r="BR719" s="323"/>
      <c r="BS719" s="323"/>
      <c r="BT719" s="323"/>
      <c r="BU719" s="323"/>
      <c r="BV719" s="323"/>
      <c r="BW719" s="323"/>
      <c r="BX719" s="323"/>
      <c r="BY719" s="323"/>
      <c r="BZ719" s="323"/>
      <c r="CA719" s="323"/>
      <c r="CB719" s="323"/>
      <c r="CC719" s="323"/>
    </row>
    <row r="720" spans="23:81" x14ac:dyDescent="0.35">
      <c r="W720" s="305"/>
      <c r="X720" s="323"/>
      <c r="Y720" s="323"/>
      <c r="Z720" s="323"/>
      <c r="AA720" s="323"/>
      <c r="AB720" s="323"/>
      <c r="AC720" s="323"/>
      <c r="AD720" s="323"/>
      <c r="AE720" s="323"/>
      <c r="AF720" s="323"/>
      <c r="AG720" s="323"/>
      <c r="AH720" s="323"/>
      <c r="AI720" s="323"/>
      <c r="AJ720" s="323"/>
      <c r="AK720" s="323"/>
      <c r="AL720" s="323"/>
      <c r="AM720" s="323"/>
      <c r="AN720" s="457"/>
      <c r="AO720" s="457"/>
      <c r="AP720" s="457"/>
      <c r="AQ720" s="457"/>
      <c r="AR720" s="457"/>
      <c r="AS720" s="457"/>
      <c r="AT720" s="457"/>
      <c r="AU720" s="457"/>
      <c r="AV720" s="323"/>
      <c r="AW720" s="323"/>
      <c r="AX720" s="323"/>
      <c r="AY720" s="323"/>
      <c r="AZ720" s="323"/>
      <c r="BA720" s="323"/>
      <c r="BB720" s="323"/>
      <c r="BC720" s="323"/>
      <c r="BD720" s="323"/>
      <c r="BE720" s="323"/>
      <c r="BF720" s="323"/>
      <c r="BG720" s="323"/>
      <c r="BH720" s="323"/>
      <c r="BI720" s="323"/>
      <c r="BJ720" s="323"/>
      <c r="BK720" s="323"/>
      <c r="BL720" s="323"/>
      <c r="BM720" s="323"/>
      <c r="BN720" s="323"/>
      <c r="BO720" s="323"/>
      <c r="BP720" s="323"/>
      <c r="BQ720" s="323"/>
      <c r="BR720" s="323"/>
      <c r="BS720" s="323"/>
      <c r="BT720" s="323"/>
      <c r="BU720" s="323"/>
      <c r="BV720" s="323"/>
      <c r="BW720" s="323"/>
      <c r="BX720" s="323"/>
      <c r="BY720" s="323"/>
      <c r="BZ720" s="323"/>
      <c r="CA720" s="323"/>
      <c r="CB720" s="323"/>
      <c r="CC720" s="323"/>
    </row>
    <row r="721" spans="23:81" x14ac:dyDescent="0.35">
      <c r="W721" s="305"/>
      <c r="X721" s="323"/>
      <c r="Y721" s="323"/>
      <c r="Z721" s="323"/>
      <c r="AA721" s="323"/>
      <c r="AB721" s="323"/>
      <c r="AC721" s="323"/>
      <c r="AD721" s="323"/>
      <c r="AE721" s="323"/>
      <c r="AF721" s="323"/>
      <c r="AG721" s="323"/>
      <c r="AH721" s="323"/>
      <c r="AI721" s="323"/>
      <c r="AJ721" s="323"/>
      <c r="AK721" s="323"/>
      <c r="AL721" s="323"/>
      <c r="AM721" s="323"/>
      <c r="AN721" s="457"/>
      <c r="AO721" s="457"/>
      <c r="AP721" s="457"/>
      <c r="AQ721" s="457"/>
      <c r="AR721" s="457"/>
      <c r="AS721" s="457"/>
      <c r="AT721" s="457"/>
      <c r="AU721" s="457"/>
      <c r="AV721" s="323"/>
      <c r="AW721" s="323"/>
      <c r="AX721" s="323"/>
      <c r="AY721" s="323"/>
      <c r="AZ721" s="323"/>
      <c r="BA721" s="323"/>
      <c r="BB721" s="323"/>
      <c r="BC721" s="323"/>
      <c r="BD721" s="323"/>
      <c r="BE721" s="323"/>
      <c r="BF721" s="323"/>
      <c r="BG721" s="323"/>
      <c r="BH721" s="323"/>
      <c r="BI721" s="323"/>
      <c r="BJ721" s="323"/>
      <c r="BK721" s="323"/>
      <c r="BL721" s="323"/>
      <c r="BM721" s="323"/>
      <c r="BN721" s="323"/>
      <c r="BO721" s="323"/>
      <c r="BP721" s="323"/>
      <c r="BQ721" s="323"/>
      <c r="BR721" s="323"/>
      <c r="BS721" s="323"/>
      <c r="BT721" s="323"/>
      <c r="BU721" s="323"/>
      <c r="BV721" s="323"/>
      <c r="BW721" s="323"/>
      <c r="BX721" s="323"/>
      <c r="BY721" s="323"/>
      <c r="BZ721" s="323"/>
      <c r="CA721" s="323"/>
      <c r="CB721" s="323"/>
      <c r="CC721" s="323"/>
    </row>
    <row r="722" spans="23:81" x14ac:dyDescent="0.35">
      <c r="W722" s="305"/>
      <c r="X722" s="323"/>
      <c r="Y722" s="323"/>
      <c r="Z722" s="323"/>
      <c r="AA722" s="323"/>
      <c r="AB722" s="323"/>
      <c r="AC722" s="323"/>
      <c r="AD722" s="323"/>
      <c r="AE722" s="323"/>
      <c r="AF722" s="323"/>
      <c r="AG722" s="323"/>
      <c r="AH722" s="323"/>
      <c r="AI722" s="323"/>
      <c r="AJ722" s="323"/>
      <c r="AK722" s="323"/>
      <c r="AL722" s="323"/>
      <c r="AM722" s="323"/>
      <c r="AN722" s="457"/>
      <c r="AO722" s="457"/>
      <c r="AP722" s="457"/>
      <c r="AQ722" s="457"/>
      <c r="AR722" s="457"/>
      <c r="AS722" s="457"/>
      <c r="AT722" s="457"/>
      <c r="AU722" s="457"/>
      <c r="AV722" s="323"/>
      <c r="AW722" s="323"/>
      <c r="AX722" s="323"/>
      <c r="AY722" s="323"/>
      <c r="AZ722" s="323"/>
      <c r="BA722" s="323"/>
      <c r="BB722" s="323"/>
      <c r="BC722" s="323"/>
      <c r="BD722" s="323"/>
      <c r="BE722" s="323"/>
      <c r="BF722" s="323"/>
      <c r="BG722" s="323"/>
      <c r="BH722" s="323"/>
      <c r="BI722" s="323"/>
      <c r="BJ722" s="323"/>
      <c r="BK722" s="323"/>
      <c r="BL722" s="323"/>
      <c r="BM722" s="323"/>
      <c r="BN722" s="323"/>
      <c r="BO722" s="323"/>
      <c r="BP722" s="323"/>
      <c r="BQ722" s="323"/>
      <c r="BR722" s="323"/>
      <c r="BS722" s="323"/>
      <c r="BT722" s="323"/>
      <c r="BU722" s="323"/>
      <c r="BV722" s="323"/>
      <c r="BW722" s="323"/>
      <c r="BX722" s="323"/>
      <c r="BY722" s="323"/>
      <c r="BZ722" s="323"/>
      <c r="CA722" s="323"/>
      <c r="CB722" s="323"/>
      <c r="CC722" s="323"/>
    </row>
    <row r="723" spans="23:81" x14ac:dyDescent="0.35">
      <c r="W723" s="305"/>
      <c r="X723" s="323"/>
      <c r="Y723" s="323"/>
      <c r="Z723" s="323"/>
      <c r="AA723" s="323"/>
      <c r="AB723" s="323"/>
      <c r="AC723" s="323"/>
      <c r="AD723" s="323"/>
      <c r="AE723" s="323"/>
      <c r="AF723" s="323"/>
      <c r="AG723" s="323"/>
      <c r="AH723" s="323"/>
      <c r="AI723" s="323"/>
      <c r="AJ723" s="323"/>
      <c r="AK723" s="323"/>
      <c r="AL723" s="323"/>
      <c r="AM723" s="323"/>
      <c r="AN723" s="457"/>
      <c r="AO723" s="457"/>
      <c r="AP723" s="457"/>
      <c r="AQ723" s="457"/>
      <c r="AR723" s="457"/>
      <c r="AS723" s="457"/>
      <c r="AT723" s="457"/>
      <c r="AU723" s="457"/>
      <c r="AV723" s="323"/>
      <c r="AW723" s="323"/>
      <c r="AX723" s="323"/>
      <c r="AY723" s="323"/>
      <c r="AZ723" s="323"/>
      <c r="BA723" s="323"/>
      <c r="BB723" s="323"/>
      <c r="BC723" s="323"/>
      <c r="BD723" s="323"/>
      <c r="BE723" s="323"/>
      <c r="BF723" s="323"/>
      <c r="BG723" s="323"/>
      <c r="BH723" s="323"/>
      <c r="BI723" s="323"/>
      <c r="BJ723" s="323"/>
      <c r="BK723" s="323"/>
      <c r="BL723" s="323"/>
      <c r="BM723" s="323"/>
      <c r="BN723" s="323"/>
      <c r="BO723" s="323"/>
      <c r="BP723" s="323"/>
      <c r="BQ723" s="323"/>
      <c r="BR723" s="323"/>
      <c r="BS723" s="323"/>
      <c r="BT723" s="323"/>
      <c r="BU723" s="323"/>
      <c r="BV723" s="323"/>
      <c r="BW723" s="323"/>
      <c r="BX723" s="323"/>
      <c r="BY723" s="323"/>
      <c r="BZ723" s="323"/>
      <c r="CA723" s="323"/>
      <c r="CB723" s="323"/>
      <c r="CC723" s="323"/>
    </row>
    <row r="724" spans="23:81" x14ac:dyDescent="0.35">
      <c r="W724" s="305"/>
      <c r="X724" s="323"/>
      <c r="Y724" s="323"/>
      <c r="Z724" s="323"/>
      <c r="AA724" s="323"/>
      <c r="AB724" s="323"/>
      <c r="AC724" s="323"/>
      <c r="AD724" s="323"/>
      <c r="AE724" s="323"/>
      <c r="AF724" s="323"/>
      <c r="AG724" s="323"/>
      <c r="AH724" s="323"/>
      <c r="AI724" s="323"/>
      <c r="AJ724" s="323"/>
      <c r="AK724" s="323"/>
      <c r="AL724" s="323"/>
      <c r="AM724" s="323"/>
      <c r="AN724" s="457"/>
      <c r="AO724" s="457"/>
      <c r="AP724" s="457"/>
      <c r="AQ724" s="457"/>
      <c r="AR724" s="457"/>
      <c r="AS724" s="457"/>
      <c r="AT724" s="457"/>
      <c r="AU724" s="457"/>
      <c r="AV724" s="323"/>
      <c r="AW724" s="323"/>
      <c r="AX724" s="323"/>
      <c r="AY724" s="323"/>
      <c r="AZ724" s="323"/>
      <c r="BA724" s="323"/>
      <c r="BB724" s="323"/>
      <c r="BC724" s="323"/>
      <c r="BD724" s="323"/>
      <c r="BE724" s="323"/>
      <c r="BF724" s="323"/>
      <c r="BG724" s="323"/>
      <c r="BH724" s="323"/>
      <c r="BI724" s="323"/>
      <c r="BJ724" s="323"/>
      <c r="BK724" s="323"/>
      <c r="BL724" s="323"/>
      <c r="BM724" s="323"/>
      <c r="BN724" s="323"/>
      <c r="BO724" s="323"/>
      <c r="BP724" s="323"/>
      <c r="BQ724" s="323"/>
      <c r="BR724" s="323"/>
      <c r="BS724" s="323"/>
      <c r="BT724" s="323"/>
      <c r="BU724" s="323"/>
      <c r="BV724" s="323"/>
      <c r="BW724" s="323"/>
      <c r="BX724" s="323"/>
      <c r="BY724" s="323"/>
      <c r="BZ724" s="323"/>
      <c r="CA724" s="323"/>
      <c r="CB724" s="323"/>
      <c r="CC724" s="323"/>
    </row>
    <row r="725" spans="23:81" x14ac:dyDescent="0.35">
      <c r="W725" s="305"/>
      <c r="X725" s="323"/>
      <c r="Y725" s="323"/>
      <c r="Z725" s="323"/>
      <c r="AA725" s="323"/>
      <c r="AB725" s="323"/>
      <c r="AC725" s="323"/>
      <c r="AD725" s="323"/>
      <c r="AE725" s="323"/>
      <c r="AF725" s="323"/>
      <c r="AG725" s="323"/>
      <c r="AH725" s="323"/>
      <c r="AI725" s="323"/>
      <c r="AJ725" s="323"/>
      <c r="AK725" s="323"/>
      <c r="AL725" s="323"/>
      <c r="AM725" s="323"/>
      <c r="AN725" s="457"/>
      <c r="AO725" s="457"/>
      <c r="AP725" s="457"/>
      <c r="AQ725" s="457"/>
      <c r="AR725" s="457"/>
      <c r="AS725" s="457"/>
      <c r="AT725" s="457"/>
      <c r="AU725" s="457"/>
      <c r="AV725" s="323"/>
      <c r="AW725" s="323"/>
      <c r="AX725" s="323"/>
      <c r="AY725" s="323"/>
      <c r="AZ725" s="323"/>
      <c r="BA725" s="323"/>
      <c r="BB725" s="323"/>
      <c r="BC725" s="323"/>
      <c r="BD725" s="323"/>
      <c r="BE725" s="323"/>
      <c r="BF725" s="323"/>
      <c r="BG725" s="323"/>
      <c r="BH725" s="323"/>
      <c r="BI725" s="323"/>
      <c r="BJ725" s="323"/>
      <c r="BK725" s="323"/>
      <c r="BL725" s="323"/>
      <c r="BM725" s="323"/>
      <c r="BN725" s="323"/>
      <c r="BO725" s="323"/>
      <c r="BP725" s="323"/>
      <c r="BQ725" s="323"/>
      <c r="BR725" s="323"/>
      <c r="BS725" s="323"/>
      <c r="BT725" s="323"/>
      <c r="BU725" s="323"/>
      <c r="BV725" s="323"/>
      <c r="BW725" s="323"/>
      <c r="BX725" s="323"/>
      <c r="BY725" s="323"/>
      <c r="BZ725" s="323"/>
      <c r="CA725" s="323"/>
      <c r="CB725" s="323"/>
      <c r="CC725" s="323"/>
    </row>
    <row r="726" spans="23:81" x14ac:dyDescent="0.35">
      <c r="W726" s="305"/>
      <c r="X726" s="323"/>
      <c r="Y726" s="323"/>
      <c r="Z726" s="323"/>
      <c r="AA726" s="323"/>
      <c r="AB726" s="323"/>
      <c r="AC726" s="323"/>
      <c r="AD726" s="323"/>
      <c r="AE726" s="323"/>
      <c r="AF726" s="323"/>
      <c r="AG726" s="323"/>
      <c r="AH726" s="323"/>
      <c r="AI726" s="323"/>
      <c r="AJ726" s="323"/>
      <c r="AK726" s="323"/>
      <c r="AL726" s="323"/>
      <c r="AM726" s="323"/>
      <c r="AN726" s="457"/>
      <c r="AO726" s="457"/>
      <c r="AP726" s="457"/>
      <c r="AQ726" s="457"/>
      <c r="AR726" s="457"/>
      <c r="AS726" s="457"/>
      <c r="AT726" s="457"/>
      <c r="AU726" s="457"/>
      <c r="AV726" s="323"/>
      <c r="AW726" s="323"/>
      <c r="AX726" s="323"/>
      <c r="AY726" s="323"/>
      <c r="AZ726" s="323"/>
      <c r="BA726" s="323"/>
      <c r="BB726" s="323"/>
      <c r="BC726" s="323"/>
      <c r="BD726" s="323"/>
      <c r="BE726" s="323"/>
      <c r="BF726" s="323"/>
      <c r="BG726" s="323"/>
      <c r="BH726" s="323"/>
      <c r="BI726" s="323"/>
      <c r="BJ726" s="323"/>
      <c r="BK726" s="323"/>
      <c r="BL726" s="323"/>
      <c r="BM726" s="323"/>
      <c r="BN726" s="323"/>
      <c r="BO726" s="323"/>
      <c r="BP726" s="323"/>
      <c r="BQ726" s="323"/>
      <c r="BR726" s="323"/>
      <c r="BS726" s="323"/>
      <c r="BT726" s="323"/>
      <c r="BU726" s="323"/>
      <c r="BV726" s="323"/>
      <c r="BW726" s="323"/>
      <c r="BX726" s="323"/>
      <c r="BY726" s="323"/>
      <c r="BZ726" s="323"/>
      <c r="CA726" s="323"/>
      <c r="CB726" s="323"/>
      <c r="CC726" s="323"/>
    </row>
    <row r="727" spans="23:81" x14ac:dyDescent="0.35">
      <c r="W727" s="305"/>
      <c r="X727" s="323"/>
      <c r="Y727" s="323"/>
      <c r="Z727" s="323"/>
      <c r="AA727" s="323"/>
      <c r="AB727" s="323"/>
      <c r="AC727" s="323"/>
      <c r="AD727" s="323"/>
      <c r="AE727" s="323"/>
      <c r="AF727" s="323"/>
      <c r="AG727" s="323"/>
      <c r="AH727" s="323"/>
      <c r="AI727" s="323"/>
      <c r="AJ727" s="323"/>
      <c r="AK727" s="323"/>
      <c r="AL727" s="323"/>
      <c r="AM727" s="323"/>
      <c r="AN727" s="457"/>
      <c r="AO727" s="457"/>
      <c r="AP727" s="457"/>
      <c r="AQ727" s="457"/>
      <c r="AR727" s="457"/>
      <c r="AS727" s="457"/>
      <c r="AT727" s="457"/>
      <c r="AU727" s="457"/>
      <c r="AV727" s="323"/>
      <c r="AW727" s="323"/>
      <c r="AX727" s="323"/>
      <c r="AY727" s="323"/>
      <c r="AZ727" s="323"/>
      <c r="BA727" s="323"/>
      <c r="BB727" s="323"/>
      <c r="BC727" s="323"/>
      <c r="BD727" s="323"/>
      <c r="BE727" s="323"/>
      <c r="BF727" s="323"/>
      <c r="BG727" s="323"/>
      <c r="BH727" s="323"/>
      <c r="BI727" s="323"/>
      <c r="BJ727" s="323"/>
      <c r="BK727" s="323"/>
      <c r="BL727" s="323"/>
      <c r="BM727" s="323"/>
      <c r="BN727" s="323"/>
      <c r="BO727" s="323"/>
      <c r="BP727" s="323"/>
      <c r="BQ727" s="323"/>
      <c r="BR727" s="323"/>
      <c r="BS727" s="323"/>
      <c r="BT727" s="323"/>
      <c r="BU727" s="323"/>
      <c r="BV727" s="323"/>
      <c r="BW727" s="323"/>
      <c r="BX727" s="323"/>
      <c r="BY727" s="323"/>
      <c r="BZ727" s="323"/>
      <c r="CA727" s="323"/>
      <c r="CB727" s="323"/>
      <c r="CC727" s="323"/>
    </row>
    <row r="728" spans="23:81" x14ac:dyDescent="0.35">
      <c r="W728" s="305"/>
      <c r="X728" s="323"/>
      <c r="Y728" s="323"/>
      <c r="Z728" s="323"/>
      <c r="AA728" s="323"/>
      <c r="AB728" s="323"/>
      <c r="AC728" s="323"/>
      <c r="AD728" s="323"/>
      <c r="AE728" s="323"/>
      <c r="AF728" s="323"/>
      <c r="AG728" s="323"/>
      <c r="AH728" s="323"/>
      <c r="AI728" s="323"/>
      <c r="AJ728" s="323"/>
      <c r="AK728" s="323"/>
      <c r="AL728" s="323"/>
      <c r="AM728" s="323"/>
      <c r="AN728" s="457"/>
      <c r="AO728" s="457"/>
      <c r="AP728" s="457"/>
      <c r="AQ728" s="457"/>
      <c r="AR728" s="457"/>
      <c r="AS728" s="457"/>
      <c r="AT728" s="457"/>
      <c r="AU728" s="457"/>
      <c r="AV728" s="323"/>
      <c r="AW728" s="323"/>
      <c r="AX728" s="323"/>
      <c r="AY728" s="323"/>
      <c r="AZ728" s="323"/>
      <c r="BA728" s="323"/>
      <c r="BB728" s="323"/>
      <c r="BC728" s="323"/>
      <c r="BD728" s="323"/>
      <c r="BE728" s="323"/>
      <c r="BF728" s="323"/>
      <c r="BG728" s="323"/>
      <c r="BH728" s="323"/>
      <c r="BI728" s="323"/>
      <c r="BJ728" s="323"/>
      <c r="BK728" s="323"/>
      <c r="BL728" s="323"/>
      <c r="BM728" s="323"/>
      <c r="BN728" s="323"/>
      <c r="BO728" s="323"/>
      <c r="BP728" s="323"/>
      <c r="BQ728" s="323"/>
      <c r="BR728" s="323"/>
      <c r="BS728" s="323"/>
      <c r="BT728" s="323"/>
      <c r="BU728" s="323"/>
      <c r="BV728" s="323"/>
      <c r="BW728" s="323"/>
      <c r="BX728" s="323"/>
      <c r="BY728" s="323"/>
      <c r="BZ728" s="323"/>
      <c r="CA728" s="323"/>
      <c r="CB728" s="323"/>
      <c r="CC728" s="323"/>
    </row>
    <row r="729" spans="23:81" x14ac:dyDescent="0.35">
      <c r="W729" s="305"/>
      <c r="X729" s="323"/>
      <c r="Y729" s="323"/>
      <c r="Z729" s="323"/>
      <c r="AA729" s="323"/>
      <c r="AB729" s="323"/>
      <c r="AC729" s="323"/>
      <c r="AD729" s="323"/>
      <c r="AE729" s="323"/>
      <c r="AF729" s="323"/>
      <c r="AG729" s="323"/>
      <c r="AH729" s="323"/>
      <c r="AI729" s="323"/>
      <c r="AJ729" s="323"/>
      <c r="AK729" s="323"/>
      <c r="AL729" s="323"/>
      <c r="AM729" s="323"/>
      <c r="AN729" s="457"/>
      <c r="AO729" s="457"/>
      <c r="AP729" s="457"/>
      <c r="AQ729" s="457"/>
      <c r="AR729" s="457"/>
      <c r="AS729" s="457"/>
      <c r="AT729" s="457"/>
      <c r="AU729" s="457"/>
      <c r="AV729" s="323"/>
      <c r="AW729" s="323"/>
      <c r="AX729" s="323"/>
      <c r="AY729" s="323"/>
      <c r="AZ729" s="323"/>
      <c r="BA729" s="323"/>
      <c r="BB729" s="323"/>
      <c r="BC729" s="323"/>
      <c r="BD729" s="323"/>
      <c r="BE729" s="323"/>
      <c r="BF729" s="323"/>
      <c r="BG729" s="323"/>
      <c r="BH729" s="323"/>
      <c r="BI729" s="323"/>
      <c r="BJ729" s="323"/>
      <c r="BK729" s="323"/>
      <c r="BL729" s="323"/>
      <c r="BM729" s="323"/>
      <c r="BN729" s="323"/>
      <c r="BO729" s="323"/>
      <c r="BP729" s="323"/>
      <c r="BQ729" s="323"/>
      <c r="BR729" s="323"/>
      <c r="BS729" s="323"/>
      <c r="BT729" s="323"/>
      <c r="BU729" s="323"/>
      <c r="BV729" s="323"/>
      <c r="BW729" s="323"/>
      <c r="BX729" s="323"/>
      <c r="BY729" s="323"/>
      <c r="BZ729" s="323"/>
      <c r="CA729" s="323"/>
      <c r="CB729" s="323"/>
      <c r="CC729" s="323"/>
    </row>
    <row r="730" spans="23:81" x14ac:dyDescent="0.35">
      <c r="W730" s="305"/>
      <c r="X730" s="323"/>
      <c r="Y730" s="323"/>
      <c r="Z730" s="323"/>
      <c r="AA730" s="323"/>
      <c r="AB730" s="323"/>
      <c r="AC730" s="323"/>
      <c r="AD730" s="323"/>
      <c r="AE730" s="323"/>
      <c r="AF730" s="323"/>
      <c r="AG730" s="323"/>
      <c r="AH730" s="323"/>
      <c r="AI730" s="323"/>
      <c r="AJ730" s="323"/>
      <c r="AK730" s="323"/>
      <c r="AL730" s="323"/>
      <c r="AM730" s="323"/>
      <c r="AN730" s="457"/>
      <c r="AO730" s="457"/>
      <c r="AP730" s="457"/>
      <c r="AQ730" s="457"/>
      <c r="AR730" s="457"/>
      <c r="AS730" s="457"/>
      <c r="AT730" s="457"/>
      <c r="AU730" s="457"/>
      <c r="AV730" s="323"/>
      <c r="AW730" s="323"/>
      <c r="AX730" s="323"/>
      <c r="AY730" s="323"/>
      <c r="AZ730" s="323"/>
      <c r="BA730" s="323"/>
      <c r="BB730" s="323"/>
      <c r="BC730" s="323"/>
      <c r="BD730" s="323"/>
      <c r="BE730" s="323"/>
      <c r="BF730" s="323"/>
      <c r="BG730" s="323"/>
      <c r="BH730" s="323"/>
      <c r="BI730" s="323"/>
      <c r="BJ730" s="323"/>
      <c r="BK730" s="323"/>
      <c r="BL730" s="323"/>
      <c r="BM730" s="323"/>
      <c r="BN730" s="323"/>
      <c r="BO730" s="323"/>
      <c r="BP730" s="323"/>
      <c r="BQ730" s="323"/>
      <c r="BR730" s="323"/>
      <c r="BS730" s="323"/>
      <c r="BT730" s="323"/>
      <c r="BU730" s="323"/>
      <c r="BV730" s="323"/>
      <c r="BW730" s="323"/>
      <c r="BX730" s="323"/>
      <c r="BY730" s="323"/>
      <c r="BZ730" s="323"/>
      <c r="CA730" s="323"/>
      <c r="CB730" s="323"/>
      <c r="CC730" s="323"/>
    </row>
    <row r="731" spans="23:81" x14ac:dyDescent="0.35">
      <c r="W731" s="305"/>
      <c r="X731" s="323"/>
      <c r="Y731" s="323"/>
      <c r="Z731" s="323"/>
      <c r="AA731" s="323"/>
      <c r="AB731" s="323"/>
      <c r="AC731" s="323"/>
      <c r="AD731" s="323"/>
      <c r="AE731" s="323"/>
      <c r="AF731" s="323"/>
      <c r="AG731" s="323"/>
      <c r="AH731" s="323"/>
      <c r="AI731" s="323"/>
      <c r="AJ731" s="323"/>
      <c r="AK731" s="323"/>
      <c r="AL731" s="323"/>
      <c r="AM731" s="323"/>
      <c r="AN731" s="457"/>
      <c r="AO731" s="457"/>
      <c r="AP731" s="457"/>
      <c r="AQ731" s="457"/>
      <c r="AR731" s="457"/>
      <c r="AS731" s="457"/>
      <c r="AT731" s="457"/>
      <c r="AU731" s="457"/>
      <c r="AV731" s="323"/>
      <c r="AW731" s="323"/>
      <c r="AX731" s="323"/>
      <c r="AY731" s="323"/>
      <c r="AZ731" s="323"/>
      <c r="BA731" s="323"/>
      <c r="BB731" s="323"/>
      <c r="BC731" s="323"/>
      <c r="BD731" s="323"/>
      <c r="BE731" s="323"/>
      <c r="BF731" s="323"/>
      <c r="BG731" s="323"/>
      <c r="BH731" s="323"/>
      <c r="BI731" s="323"/>
      <c r="BJ731" s="323"/>
      <c r="BK731" s="323"/>
      <c r="BL731" s="323"/>
      <c r="BM731" s="323"/>
      <c r="BN731" s="323"/>
      <c r="BO731" s="323"/>
      <c r="BP731" s="323"/>
      <c r="BQ731" s="323"/>
      <c r="BR731" s="323"/>
      <c r="BS731" s="323"/>
      <c r="BT731" s="323"/>
      <c r="BU731" s="323"/>
      <c r="BV731" s="323"/>
      <c r="BW731" s="323"/>
      <c r="BX731" s="323"/>
      <c r="BY731" s="323"/>
      <c r="BZ731" s="323"/>
      <c r="CA731" s="323"/>
      <c r="CB731" s="323"/>
      <c r="CC731" s="323"/>
    </row>
    <row r="732" spans="23:81" x14ac:dyDescent="0.35">
      <c r="W732" s="305"/>
      <c r="X732" s="323"/>
      <c r="Y732" s="323"/>
      <c r="Z732" s="323"/>
      <c r="AA732" s="323"/>
      <c r="AB732" s="323"/>
      <c r="AC732" s="323"/>
      <c r="AD732" s="323"/>
      <c r="AE732" s="323"/>
      <c r="AF732" s="323"/>
      <c r="AG732" s="323"/>
      <c r="AH732" s="323"/>
      <c r="AI732" s="323"/>
      <c r="AJ732" s="323"/>
      <c r="AK732" s="323"/>
      <c r="AL732" s="323"/>
      <c r="AM732" s="323"/>
      <c r="AN732" s="457"/>
      <c r="AO732" s="457"/>
      <c r="AP732" s="457"/>
      <c r="AQ732" s="457"/>
      <c r="AR732" s="457"/>
      <c r="AS732" s="457"/>
      <c r="AT732" s="457"/>
      <c r="AU732" s="457"/>
      <c r="AV732" s="323"/>
      <c r="AW732" s="323"/>
      <c r="AX732" s="323"/>
      <c r="AY732" s="323"/>
      <c r="AZ732" s="323"/>
      <c r="BA732" s="323"/>
      <c r="BB732" s="323"/>
      <c r="BC732" s="323"/>
      <c r="BD732" s="323"/>
      <c r="BE732" s="323"/>
      <c r="BF732" s="323"/>
      <c r="BG732" s="323"/>
      <c r="BH732" s="323"/>
      <c r="BI732" s="323"/>
      <c r="BJ732" s="323"/>
      <c r="BK732" s="323"/>
      <c r="BL732" s="323"/>
      <c r="BM732" s="323"/>
      <c r="BN732" s="323"/>
      <c r="BO732" s="323"/>
      <c r="BP732" s="323"/>
      <c r="BQ732" s="323"/>
      <c r="BR732" s="323"/>
      <c r="BS732" s="323"/>
      <c r="BT732" s="323"/>
      <c r="BU732" s="323"/>
      <c r="BV732" s="323"/>
      <c r="BW732" s="323"/>
      <c r="BX732" s="323"/>
      <c r="BY732" s="323"/>
      <c r="BZ732" s="323"/>
      <c r="CA732" s="323"/>
      <c r="CB732" s="323"/>
      <c r="CC732" s="323"/>
    </row>
    <row r="733" spans="23:81" x14ac:dyDescent="0.35">
      <c r="W733" s="305"/>
      <c r="X733" s="323"/>
      <c r="Y733" s="323"/>
      <c r="Z733" s="323"/>
      <c r="AA733" s="323"/>
      <c r="AB733" s="323"/>
      <c r="AC733" s="323"/>
      <c r="AD733" s="323"/>
      <c r="AE733" s="323"/>
      <c r="AF733" s="323"/>
      <c r="AG733" s="323"/>
      <c r="AH733" s="323"/>
      <c r="AI733" s="323"/>
      <c r="AJ733" s="323"/>
      <c r="AK733" s="323"/>
      <c r="AL733" s="323"/>
      <c r="AM733" s="323"/>
      <c r="AN733" s="457"/>
      <c r="AO733" s="457"/>
      <c r="AP733" s="457"/>
      <c r="AQ733" s="457"/>
      <c r="AR733" s="457"/>
      <c r="AS733" s="457"/>
      <c r="AT733" s="457"/>
      <c r="AU733" s="457"/>
      <c r="AV733" s="323"/>
      <c r="AW733" s="323"/>
      <c r="AX733" s="323"/>
      <c r="AY733" s="323"/>
      <c r="AZ733" s="323"/>
      <c r="BA733" s="323"/>
      <c r="BB733" s="323"/>
      <c r="BC733" s="323"/>
      <c r="BD733" s="323"/>
      <c r="BE733" s="323"/>
      <c r="BF733" s="323"/>
      <c r="BG733" s="323"/>
      <c r="BH733" s="323"/>
      <c r="BI733" s="323"/>
      <c r="BJ733" s="323"/>
      <c r="BK733" s="323"/>
      <c r="BL733" s="323"/>
      <c r="BM733" s="323"/>
      <c r="BN733" s="323"/>
      <c r="BO733" s="323"/>
      <c r="BP733" s="323"/>
      <c r="BQ733" s="323"/>
      <c r="BR733" s="323"/>
      <c r="BS733" s="323"/>
      <c r="BT733" s="323"/>
      <c r="BU733" s="323"/>
      <c r="BV733" s="323"/>
      <c r="BW733" s="323"/>
      <c r="BX733" s="323"/>
      <c r="BY733" s="323"/>
      <c r="BZ733" s="323"/>
      <c r="CA733" s="323"/>
      <c r="CB733" s="323"/>
      <c r="CC733" s="323"/>
    </row>
    <row r="734" spans="23:81" x14ac:dyDescent="0.35">
      <c r="W734" s="305"/>
      <c r="X734" s="323"/>
      <c r="Y734" s="323"/>
      <c r="Z734" s="323"/>
      <c r="AA734" s="323"/>
      <c r="AB734" s="323"/>
      <c r="AC734" s="323"/>
      <c r="AD734" s="323"/>
      <c r="AE734" s="323"/>
      <c r="AF734" s="323"/>
      <c r="AG734" s="323"/>
      <c r="AH734" s="323"/>
      <c r="AI734" s="323"/>
      <c r="AJ734" s="323"/>
      <c r="AK734" s="323"/>
      <c r="AL734" s="323"/>
      <c r="AM734" s="323"/>
      <c r="AN734" s="457"/>
      <c r="AO734" s="457"/>
      <c r="AP734" s="457"/>
      <c r="AQ734" s="457"/>
      <c r="AR734" s="457"/>
      <c r="AS734" s="457"/>
      <c r="AT734" s="457"/>
      <c r="AU734" s="457"/>
      <c r="AV734" s="323"/>
      <c r="AW734" s="323"/>
      <c r="AX734" s="323"/>
      <c r="AY734" s="323"/>
      <c r="AZ734" s="323"/>
      <c r="BA734" s="323"/>
      <c r="BB734" s="323"/>
      <c r="BC734" s="323"/>
      <c r="BD734" s="323"/>
      <c r="BE734" s="323"/>
      <c r="BF734" s="323"/>
      <c r="BG734" s="323"/>
      <c r="BH734" s="323"/>
      <c r="BI734" s="323"/>
      <c r="BJ734" s="323"/>
      <c r="BK734" s="323"/>
      <c r="BL734" s="323"/>
      <c r="BM734" s="323"/>
      <c r="BN734" s="323"/>
      <c r="BO734" s="323"/>
      <c r="BP734" s="323"/>
      <c r="BQ734" s="323"/>
      <c r="BR734" s="323"/>
      <c r="BS734" s="323"/>
      <c r="BT734" s="323"/>
      <c r="BU734" s="323"/>
      <c r="BV734" s="323"/>
      <c r="BW734" s="323"/>
      <c r="BX734" s="323"/>
      <c r="BY734" s="323"/>
      <c r="BZ734" s="323"/>
      <c r="CA734" s="323"/>
      <c r="CB734" s="323"/>
      <c r="CC734" s="323"/>
    </row>
    <row r="735" spans="23:81" x14ac:dyDescent="0.35">
      <c r="W735" s="305"/>
      <c r="X735" s="323"/>
      <c r="Y735" s="323"/>
      <c r="Z735" s="323"/>
      <c r="AA735" s="323"/>
      <c r="AB735" s="323"/>
      <c r="AC735" s="323"/>
      <c r="AD735" s="323"/>
      <c r="AE735" s="323"/>
      <c r="AF735" s="323"/>
      <c r="AG735" s="323"/>
      <c r="AH735" s="323"/>
      <c r="AI735" s="323"/>
      <c r="AJ735" s="323"/>
      <c r="AK735" s="323"/>
      <c r="AL735" s="323"/>
      <c r="AM735" s="323"/>
      <c r="AN735" s="457"/>
      <c r="AO735" s="457"/>
      <c r="AP735" s="457"/>
      <c r="AQ735" s="457"/>
      <c r="AR735" s="457"/>
      <c r="AS735" s="457"/>
      <c r="AT735" s="457"/>
      <c r="AU735" s="457"/>
      <c r="AV735" s="323"/>
      <c r="AW735" s="323"/>
      <c r="AX735" s="323"/>
      <c r="AY735" s="323"/>
      <c r="AZ735" s="323"/>
      <c r="BA735" s="323"/>
      <c r="BB735" s="323"/>
      <c r="BC735" s="323"/>
      <c r="BD735" s="323"/>
      <c r="BE735" s="323"/>
      <c r="BF735" s="323"/>
      <c r="BG735" s="323"/>
      <c r="BH735" s="323"/>
      <c r="BI735" s="323"/>
      <c r="BJ735" s="323"/>
      <c r="BK735" s="323"/>
      <c r="BL735" s="323"/>
      <c r="BM735" s="323"/>
      <c r="BN735" s="323"/>
      <c r="BO735" s="323"/>
      <c r="BP735" s="323"/>
      <c r="BQ735" s="323"/>
      <c r="BR735" s="323"/>
      <c r="BS735" s="323"/>
      <c r="BT735" s="323"/>
      <c r="BU735" s="323"/>
      <c r="BV735" s="323"/>
      <c r="BW735" s="323"/>
      <c r="BX735" s="323"/>
      <c r="BY735" s="323"/>
      <c r="BZ735" s="323"/>
      <c r="CA735" s="323"/>
      <c r="CB735" s="323"/>
      <c r="CC735" s="323"/>
    </row>
    <row r="736" spans="23:81" x14ac:dyDescent="0.35">
      <c r="W736" s="305"/>
      <c r="X736" s="323"/>
      <c r="Y736" s="323"/>
      <c r="Z736" s="323"/>
      <c r="AA736" s="323"/>
      <c r="AB736" s="323"/>
      <c r="AC736" s="323"/>
      <c r="AD736" s="323"/>
      <c r="AE736" s="323"/>
      <c r="AF736" s="323"/>
      <c r="AG736" s="323"/>
      <c r="AH736" s="323"/>
      <c r="AI736" s="323"/>
      <c r="AJ736" s="323"/>
      <c r="AK736" s="323"/>
      <c r="AL736" s="323"/>
      <c r="AM736" s="323"/>
      <c r="AN736" s="457"/>
      <c r="AO736" s="457"/>
      <c r="AP736" s="457"/>
      <c r="AQ736" s="457"/>
      <c r="AR736" s="457"/>
      <c r="AS736" s="457"/>
      <c r="AT736" s="457"/>
      <c r="AU736" s="457"/>
      <c r="AV736" s="323"/>
      <c r="AW736" s="323"/>
      <c r="AX736" s="323"/>
      <c r="AY736" s="323"/>
      <c r="AZ736" s="323"/>
      <c r="BA736" s="323"/>
      <c r="BB736" s="323"/>
      <c r="BC736" s="323"/>
      <c r="BD736" s="323"/>
      <c r="BE736" s="323"/>
      <c r="BF736" s="323"/>
      <c r="BG736" s="323"/>
      <c r="BH736" s="323"/>
      <c r="BI736" s="323"/>
      <c r="BJ736" s="323"/>
      <c r="BK736" s="323"/>
      <c r="BL736" s="323"/>
      <c r="BM736" s="323"/>
      <c r="BN736" s="323"/>
      <c r="BO736" s="323"/>
      <c r="BP736" s="323"/>
      <c r="BQ736" s="323"/>
      <c r="BR736" s="323"/>
      <c r="BS736" s="323"/>
      <c r="BT736" s="323"/>
      <c r="BU736" s="323"/>
      <c r="BV736" s="323"/>
      <c r="BW736" s="323"/>
      <c r="BX736" s="323"/>
      <c r="BY736" s="323"/>
      <c r="BZ736" s="323"/>
      <c r="CA736" s="323"/>
      <c r="CB736" s="323"/>
      <c r="CC736" s="323"/>
    </row>
    <row r="737" spans="23:81" x14ac:dyDescent="0.35">
      <c r="W737" s="305"/>
      <c r="X737" s="323"/>
      <c r="Y737" s="323"/>
      <c r="Z737" s="323"/>
      <c r="AA737" s="323"/>
      <c r="AB737" s="323"/>
      <c r="AC737" s="323"/>
      <c r="AD737" s="323"/>
      <c r="AE737" s="323"/>
      <c r="AF737" s="323"/>
      <c r="AG737" s="323"/>
      <c r="AH737" s="323"/>
      <c r="AI737" s="323"/>
      <c r="AJ737" s="323"/>
      <c r="AK737" s="323"/>
      <c r="AL737" s="323"/>
      <c r="AM737" s="323"/>
      <c r="AN737" s="457"/>
      <c r="AO737" s="457"/>
      <c r="AP737" s="457"/>
      <c r="AQ737" s="457"/>
      <c r="AR737" s="457"/>
      <c r="AS737" s="457"/>
      <c r="AT737" s="457"/>
      <c r="AU737" s="457"/>
      <c r="AV737" s="323"/>
      <c r="AW737" s="323"/>
      <c r="AX737" s="323"/>
      <c r="AY737" s="323"/>
      <c r="AZ737" s="323"/>
      <c r="BA737" s="323"/>
      <c r="BB737" s="323"/>
      <c r="BC737" s="323"/>
      <c r="BD737" s="323"/>
      <c r="BE737" s="323"/>
      <c r="BF737" s="323"/>
      <c r="BG737" s="323"/>
      <c r="BH737" s="323"/>
      <c r="BI737" s="323"/>
      <c r="BJ737" s="323"/>
      <c r="BK737" s="323"/>
      <c r="BL737" s="323"/>
      <c r="BM737" s="323"/>
      <c r="BN737" s="323"/>
      <c r="BO737" s="323"/>
      <c r="BP737" s="323"/>
      <c r="BQ737" s="323"/>
      <c r="BR737" s="323"/>
      <c r="BS737" s="323"/>
      <c r="BT737" s="323"/>
      <c r="BU737" s="323"/>
      <c r="BV737" s="323"/>
      <c r="BW737" s="323"/>
      <c r="BX737" s="323"/>
      <c r="BY737" s="323"/>
      <c r="BZ737" s="323"/>
      <c r="CA737" s="323"/>
      <c r="CB737" s="323"/>
      <c r="CC737" s="323"/>
    </row>
    <row r="738" spans="23:81" x14ac:dyDescent="0.35">
      <c r="W738" s="305"/>
      <c r="X738" s="323"/>
      <c r="Y738" s="323"/>
      <c r="Z738" s="323"/>
      <c r="AA738" s="323"/>
      <c r="AB738" s="323"/>
      <c r="AC738" s="323"/>
      <c r="AD738" s="323"/>
      <c r="AE738" s="323"/>
      <c r="AF738" s="323"/>
      <c r="AG738" s="323"/>
      <c r="AH738" s="323"/>
      <c r="AI738" s="323"/>
      <c r="AJ738" s="323"/>
      <c r="AK738" s="323"/>
      <c r="AL738" s="323"/>
      <c r="AM738" s="323"/>
      <c r="AN738" s="457"/>
      <c r="AO738" s="457"/>
      <c r="AP738" s="457"/>
      <c r="AQ738" s="457"/>
      <c r="AR738" s="457"/>
      <c r="AS738" s="457"/>
      <c r="AT738" s="457"/>
      <c r="AU738" s="457"/>
      <c r="AV738" s="323"/>
      <c r="AW738" s="323"/>
      <c r="AX738" s="323"/>
      <c r="AY738" s="323"/>
      <c r="AZ738" s="323"/>
      <c r="BA738" s="323"/>
      <c r="BB738" s="323"/>
      <c r="BC738" s="323"/>
      <c r="BD738" s="323"/>
      <c r="BE738" s="323"/>
      <c r="BF738" s="323"/>
      <c r="BG738" s="323"/>
      <c r="BH738" s="323"/>
      <c r="BI738" s="323"/>
      <c r="BJ738" s="323"/>
      <c r="BK738" s="323"/>
      <c r="BL738" s="323"/>
      <c r="BM738" s="323"/>
      <c r="BN738" s="323"/>
      <c r="BO738" s="323"/>
      <c r="BP738" s="323"/>
      <c r="BQ738" s="323"/>
      <c r="BR738" s="323"/>
      <c r="BS738" s="323"/>
      <c r="BT738" s="323"/>
      <c r="BU738" s="323"/>
      <c r="BV738" s="323"/>
      <c r="BW738" s="323"/>
      <c r="BX738" s="323"/>
      <c r="BY738" s="323"/>
      <c r="BZ738" s="323"/>
      <c r="CA738" s="323"/>
      <c r="CB738" s="323"/>
      <c r="CC738" s="323"/>
    </row>
    <row r="739" spans="23:81" x14ac:dyDescent="0.35">
      <c r="W739" s="305"/>
      <c r="X739" s="323"/>
      <c r="Y739" s="323"/>
      <c r="Z739" s="323"/>
      <c r="AA739" s="323"/>
      <c r="AB739" s="323"/>
      <c r="AC739" s="323"/>
      <c r="AD739" s="323"/>
      <c r="AE739" s="323"/>
      <c r="AF739" s="323"/>
      <c r="AG739" s="323"/>
      <c r="AH739" s="323"/>
      <c r="AI739" s="323"/>
      <c r="AJ739" s="323"/>
      <c r="AK739" s="323"/>
      <c r="AL739" s="323"/>
      <c r="AM739" s="323"/>
      <c r="AN739" s="457"/>
      <c r="AO739" s="457"/>
      <c r="AP739" s="457"/>
      <c r="AQ739" s="457"/>
      <c r="AR739" s="457"/>
      <c r="AS739" s="457"/>
      <c r="AT739" s="457"/>
      <c r="AU739" s="457"/>
      <c r="AV739" s="323"/>
      <c r="AW739" s="323"/>
      <c r="AX739" s="323"/>
      <c r="AY739" s="323"/>
      <c r="AZ739" s="323"/>
      <c r="BA739" s="323"/>
      <c r="BB739" s="323"/>
      <c r="BC739" s="323"/>
      <c r="BD739" s="323"/>
      <c r="BE739" s="323"/>
      <c r="BF739" s="323"/>
      <c r="BG739" s="323"/>
      <c r="BH739" s="323"/>
      <c r="BI739" s="323"/>
      <c r="BJ739" s="323"/>
      <c r="BK739" s="323"/>
      <c r="BL739" s="323"/>
      <c r="BM739" s="323"/>
      <c r="BN739" s="323"/>
      <c r="BO739" s="323"/>
      <c r="BP739" s="323"/>
      <c r="BQ739" s="323"/>
      <c r="BR739" s="323"/>
      <c r="BS739" s="323"/>
      <c r="BT739" s="323"/>
      <c r="BU739" s="323"/>
      <c r="BV739" s="323"/>
      <c r="BW739" s="323"/>
      <c r="BX739" s="323"/>
      <c r="BY739" s="323"/>
      <c r="BZ739" s="323"/>
      <c r="CA739" s="323"/>
      <c r="CB739" s="323"/>
      <c r="CC739" s="323"/>
    </row>
    <row r="740" spans="23:81" x14ac:dyDescent="0.35">
      <c r="W740" s="305"/>
      <c r="X740" s="323"/>
      <c r="Y740" s="323"/>
      <c r="Z740" s="323"/>
      <c r="AA740" s="323"/>
      <c r="AB740" s="323"/>
      <c r="AC740" s="323"/>
      <c r="AD740" s="323"/>
      <c r="AE740" s="323"/>
      <c r="AF740" s="323"/>
      <c r="AG740" s="323"/>
      <c r="AH740" s="323"/>
      <c r="AI740" s="323"/>
      <c r="AJ740" s="323"/>
      <c r="AK740" s="323"/>
      <c r="AL740" s="323"/>
      <c r="AM740" s="323"/>
      <c r="AN740" s="457"/>
      <c r="AO740" s="457"/>
      <c r="AP740" s="457"/>
      <c r="AQ740" s="457"/>
      <c r="AR740" s="457"/>
      <c r="AS740" s="457"/>
      <c r="AT740" s="457"/>
      <c r="AU740" s="457"/>
      <c r="AV740" s="323"/>
      <c r="AW740" s="323"/>
      <c r="AX740" s="323"/>
      <c r="AY740" s="323"/>
      <c r="AZ740" s="323"/>
      <c r="BA740" s="323"/>
      <c r="BB740" s="323"/>
      <c r="BC740" s="323"/>
      <c r="BD740" s="323"/>
      <c r="BE740" s="323"/>
      <c r="BF740" s="323"/>
      <c r="BG740" s="323"/>
      <c r="BH740" s="323"/>
      <c r="BI740" s="323"/>
      <c r="BJ740" s="323"/>
      <c r="BK740" s="323"/>
      <c r="BL740" s="323"/>
      <c r="BM740" s="323"/>
      <c r="BN740" s="323"/>
      <c r="BO740" s="323"/>
      <c r="BP740" s="323"/>
      <c r="BQ740" s="323"/>
      <c r="BR740" s="323"/>
      <c r="BS740" s="323"/>
      <c r="BT740" s="323"/>
      <c r="BU740" s="323"/>
      <c r="BV740" s="323"/>
      <c r="BW740" s="323"/>
      <c r="BX740" s="323"/>
      <c r="BY740" s="323"/>
      <c r="BZ740" s="323"/>
      <c r="CA740" s="323"/>
      <c r="CB740" s="323"/>
      <c r="CC740" s="323"/>
    </row>
    <row r="741" spans="23:81" x14ac:dyDescent="0.35">
      <c r="W741" s="305"/>
      <c r="X741" s="323"/>
      <c r="Y741" s="323"/>
      <c r="Z741" s="323"/>
      <c r="AA741" s="323"/>
      <c r="AB741" s="323"/>
      <c r="AC741" s="323"/>
      <c r="AD741" s="323"/>
      <c r="AE741" s="323"/>
      <c r="AF741" s="323"/>
      <c r="AG741" s="323"/>
      <c r="AH741" s="323"/>
      <c r="AI741" s="323"/>
      <c r="AJ741" s="323"/>
      <c r="AK741" s="323"/>
      <c r="AL741" s="323"/>
      <c r="AM741" s="323"/>
      <c r="AN741" s="457"/>
      <c r="AO741" s="457"/>
      <c r="AP741" s="457"/>
      <c r="AQ741" s="457"/>
      <c r="AR741" s="457"/>
      <c r="AS741" s="457"/>
      <c r="AT741" s="457"/>
      <c r="AU741" s="457"/>
      <c r="AV741" s="323"/>
      <c r="AW741" s="323"/>
      <c r="AX741" s="323"/>
      <c r="AY741" s="323"/>
      <c r="AZ741" s="323"/>
      <c r="BA741" s="323"/>
      <c r="BB741" s="323"/>
      <c r="BC741" s="323"/>
      <c r="BD741" s="323"/>
      <c r="BE741" s="323"/>
      <c r="BF741" s="323"/>
      <c r="BG741" s="323"/>
      <c r="BH741" s="323"/>
      <c r="BI741" s="323"/>
      <c r="BJ741" s="323"/>
      <c r="BK741" s="323"/>
      <c r="BL741" s="323"/>
      <c r="BM741" s="323"/>
      <c r="BN741" s="323"/>
      <c r="BO741" s="323"/>
      <c r="BP741" s="323"/>
      <c r="BQ741" s="323"/>
      <c r="BR741" s="323"/>
      <c r="BS741" s="323"/>
      <c r="BT741" s="323"/>
      <c r="BU741" s="323"/>
      <c r="BV741" s="323"/>
      <c r="BW741" s="323"/>
      <c r="BX741" s="323"/>
      <c r="BY741" s="323"/>
      <c r="BZ741" s="323"/>
      <c r="CA741" s="323"/>
      <c r="CB741" s="323"/>
      <c r="CC741" s="323"/>
    </row>
    <row r="742" spans="23:81" x14ac:dyDescent="0.35">
      <c r="W742" s="305"/>
      <c r="X742" s="323"/>
      <c r="Y742" s="323"/>
      <c r="Z742" s="323"/>
      <c r="AA742" s="323"/>
      <c r="AB742" s="323"/>
      <c r="AC742" s="323"/>
      <c r="AD742" s="323"/>
      <c r="AE742" s="323"/>
      <c r="AF742" s="323"/>
      <c r="AG742" s="323"/>
      <c r="AH742" s="323"/>
      <c r="AI742" s="323"/>
      <c r="AJ742" s="323"/>
      <c r="AK742" s="323"/>
      <c r="AL742" s="323"/>
      <c r="AM742" s="323"/>
      <c r="AN742" s="457"/>
      <c r="AO742" s="457"/>
      <c r="AP742" s="457"/>
      <c r="AQ742" s="457"/>
      <c r="AR742" s="457"/>
      <c r="AS742" s="457"/>
      <c r="AT742" s="457"/>
      <c r="AU742" s="457"/>
      <c r="AV742" s="323"/>
      <c r="AW742" s="323"/>
      <c r="AX742" s="323"/>
      <c r="AY742" s="323"/>
      <c r="AZ742" s="323"/>
      <c r="BA742" s="323"/>
      <c r="BB742" s="323"/>
      <c r="BC742" s="323"/>
      <c r="BD742" s="323"/>
      <c r="BE742" s="323"/>
      <c r="BF742" s="323"/>
      <c r="BG742" s="323"/>
      <c r="BH742" s="323"/>
      <c r="BI742" s="323"/>
      <c r="BJ742" s="323"/>
      <c r="BK742" s="323"/>
      <c r="BL742" s="323"/>
      <c r="BM742" s="323"/>
      <c r="BN742" s="323"/>
      <c r="BO742" s="323"/>
      <c r="BP742" s="323"/>
      <c r="BQ742" s="323"/>
      <c r="BR742" s="323"/>
      <c r="BS742" s="323"/>
      <c r="BT742" s="323"/>
      <c r="BU742" s="323"/>
      <c r="BV742" s="323"/>
      <c r="BW742" s="323"/>
      <c r="BX742" s="323"/>
      <c r="BY742" s="323"/>
      <c r="BZ742" s="323"/>
      <c r="CA742" s="323"/>
      <c r="CB742" s="323"/>
      <c r="CC742" s="323"/>
    </row>
    <row r="743" spans="23:81" x14ac:dyDescent="0.35">
      <c r="W743" s="305"/>
      <c r="X743" s="323"/>
      <c r="Y743" s="323"/>
      <c r="Z743" s="323"/>
      <c r="AA743" s="323"/>
      <c r="AB743" s="323"/>
      <c r="AC743" s="323"/>
      <c r="AD743" s="323"/>
      <c r="AE743" s="323"/>
      <c r="AF743" s="323"/>
      <c r="AG743" s="323"/>
      <c r="AH743" s="323"/>
      <c r="AI743" s="323"/>
      <c r="AJ743" s="323"/>
      <c r="AK743" s="323"/>
      <c r="AL743" s="323"/>
      <c r="AM743" s="323"/>
      <c r="AN743" s="457"/>
      <c r="AO743" s="457"/>
      <c r="AP743" s="457"/>
      <c r="AQ743" s="457"/>
      <c r="AR743" s="457"/>
      <c r="AS743" s="457"/>
      <c r="AT743" s="457"/>
      <c r="AU743" s="457"/>
      <c r="AV743" s="323"/>
      <c r="AW743" s="323"/>
      <c r="AX743" s="323"/>
      <c r="AY743" s="323"/>
      <c r="AZ743" s="323"/>
      <c r="BA743" s="323"/>
      <c r="BB743" s="323"/>
      <c r="BC743" s="323"/>
      <c r="BD743" s="323"/>
      <c r="BE743" s="323"/>
      <c r="BF743" s="323"/>
      <c r="BG743" s="323"/>
      <c r="BH743" s="323"/>
      <c r="BI743" s="323"/>
      <c r="BJ743" s="323"/>
      <c r="BK743" s="323"/>
      <c r="BL743" s="323"/>
      <c r="BM743" s="323"/>
      <c r="BN743" s="323"/>
      <c r="BO743" s="323"/>
      <c r="BP743" s="323"/>
      <c r="BQ743" s="323"/>
      <c r="BR743" s="323"/>
      <c r="BS743" s="323"/>
      <c r="BT743" s="323"/>
      <c r="BU743" s="323"/>
      <c r="BV743" s="323"/>
      <c r="BW743" s="323"/>
      <c r="BX743" s="323"/>
      <c r="BY743" s="323"/>
      <c r="BZ743" s="323"/>
      <c r="CA743" s="323"/>
      <c r="CB743" s="323"/>
      <c r="CC743" s="323"/>
    </row>
    <row r="744" spans="23:81" x14ac:dyDescent="0.35">
      <c r="W744" s="305"/>
      <c r="X744" s="323"/>
      <c r="Y744" s="323"/>
      <c r="Z744" s="323"/>
      <c r="AA744" s="323"/>
      <c r="AB744" s="323"/>
      <c r="AC744" s="323"/>
      <c r="AD744" s="323"/>
      <c r="AE744" s="323"/>
      <c r="AF744" s="323"/>
      <c r="AG744" s="323"/>
      <c r="AH744" s="323"/>
      <c r="AI744" s="323"/>
      <c r="AJ744" s="323"/>
      <c r="AK744" s="323"/>
      <c r="AL744" s="323"/>
      <c r="AM744" s="323"/>
      <c r="AN744" s="457"/>
      <c r="AO744" s="457"/>
      <c r="AP744" s="457"/>
      <c r="AQ744" s="457"/>
      <c r="AR744" s="457"/>
      <c r="AS744" s="457"/>
      <c r="AT744" s="457"/>
      <c r="AU744" s="457"/>
      <c r="AV744" s="323"/>
      <c r="AW744" s="323"/>
      <c r="AX744" s="323"/>
      <c r="AY744" s="323"/>
      <c r="AZ744" s="323"/>
      <c r="BA744" s="323"/>
      <c r="BB744" s="323"/>
      <c r="BC744" s="323"/>
      <c r="BD744" s="323"/>
      <c r="BE744" s="323"/>
      <c r="BF744" s="323"/>
      <c r="BG744" s="323"/>
      <c r="BH744" s="323"/>
      <c r="BI744" s="323"/>
      <c r="BJ744" s="323"/>
      <c r="BK744" s="323"/>
      <c r="BL744" s="323"/>
      <c r="BM744" s="323"/>
      <c r="BN744" s="323"/>
      <c r="BO744" s="323"/>
      <c r="BP744" s="323"/>
      <c r="BQ744" s="323"/>
      <c r="BR744" s="323"/>
      <c r="BS744" s="323"/>
      <c r="BT744" s="323"/>
      <c r="BU744" s="323"/>
      <c r="BV744" s="323"/>
      <c r="BW744" s="323"/>
      <c r="BX744" s="323"/>
      <c r="BY744" s="323"/>
      <c r="BZ744" s="323"/>
      <c r="CA744" s="323"/>
      <c r="CB744" s="323"/>
      <c r="CC744" s="323"/>
    </row>
    <row r="745" spans="23:81" x14ac:dyDescent="0.35">
      <c r="W745" s="305"/>
      <c r="X745" s="323"/>
      <c r="Y745" s="323"/>
      <c r="Z745" s="323"/>
      <c r="AA745" s="323"/>
      <c r="AB745" s="323"/>
      <c r="AC745" s="323"/>
      <c r="AD745" s="323"/>
      <c r="AE745" s="323"/>
      <c r="AF745" s="323"/>
      <c r="AG745" s="323"/>
      <c r="AH745" s="323"/>
      <c r="AI745" s="323"/>
      <c r="AJ745" s="323"/>
      <c r="AK745" s="323"/>
      <c r="AL745" s="323"/>
      <c r="AM745" s="323"/>
      <c r="AN745" s="457"/>
      <c r="AO745" s="457"/>
      <c r="AP745" s="457"/>
      <c r="AQ745" s="457"/>
      <c r="AR745" s="457"/>
      <c r="AS745" s="457"/>
      <c r="AT745" s="457"/>
      <c r="AU745" s="457"/>
      <c r="AV745" s="323"/>
      <c r="AW745" s="323"/>
      <c r="AX745" s="323"/>
      <c r="AY745" s="323"/>
      <c r="AZ745" s="323"/>
      <c r="BA745" s="323"/>
      <c r="BB745" s="323"/>
      <c r="BC745" s="323"/>
      <c r="BD745" s="323"/>
      <c r="BE745" s="323"/>
      <c r="BF745" s="323"/>
      <c r="BG745" s="323"/>
      <c r="BH745" s="323"/>
      <c r="BI745" s="323"/>
      <c r="BJ745" s="323"/>
      <c r="BK745" s="323"/>
      <c r="BL745" s="323"/>
      <c r="BM745" s="323"/>
      <c r="BN745" s="323"/>
      <c r="BO745" s="323"/>
      <c r="BP745" s="323"/>
      <c r="BQ745" s="323"/>
      <c r="BR745" s="323"/>
      <c r="BS745" s="323"/>
      <c r="BT745" s="323"/>
      <c r="BU745" s="323"/>
      <c r="BV745" s="323"/>
      <c r="BW745" s="323"/>
      <c r="BX745" s="323"/>
      <c r="BY745" s="323"/>
      <c r="BZ745" s="323"/>
      <c r="CA745" s="323"/>
      <c r="CB745" s="323"/>
      <c r="CC745" s="323"/>
    </row>
    <row r="746" spans="23:81" x14ac:dyDescent="0.35">
      <c r="W746" s="305"/>
      <c r="X746" s="323"/>
      <c r="Y746" s="323"/>
      <c r="Z746" s="323"/>
      <c r="AA746" s="323"/>
      <c r="AB746" s="323"/>
      <c r="AC746" s="323"/>
      <c r="AD746" s="323"/>
      <c r="AE746" s="323"/>
      <c r="AF746" s="323"/>
      <c r="AG746" s="323"/>
      <c r="AH746" s="323"/>
      <c r="AI746" s="323"/>
      <c r="AJ746" s="323"/>
      <c r="AK746" s="323"/>
      <c r="AL746" s="323"/>
      <c r="AM746" s="323"/>
      <c r="AN746" s="457"/>
      <c r="AO746" s="457"/>
      <c r="AP746" s="457"/>
      <c r="AQ746" s="457"/>
      <c r="AR746" s="457"/>
      <c r="AS746" s="457"/>
      <c r="AT746" s="457"/>
      <c r="AU746" s="457"/>
      <c r="AV746" s="323"/>
      <c r="AW746" s="323"/>
      <c r="AX746" s="323"/>
      <c r="AY746" s="323"/>
      <c r="AZ746" s="323"/>
      <c r="BA746" s="323"/>
      <c r="BB746" s="323"/>
      <c r="BC746" s="323"/>
      <c r="BD746" s="323"/>
      <c r="BE746" s="323"/>
      <c r="BF746" s="323"/>
      <c r="BG746" s="323"/>
      <c r="BH746" s="323"/>
      <c r="BI746" s="323"/>
      <c r="BJ746" s="323"/>
      <c r="BK746" s="323"/>
      <c r="BL746" s="323"/>
      <c r="BM746" s="323"/>
      <c r="BN746" s="323"/>
      <c r="BO746" s="323"/>
      <c r="BP746" s="323"/>
      <c r="BQ746" s="323"/>
      <c r="BR746" s="323"/>
      <c r="BS746" s="323"/>
      <c r="BT746" s="323"/>
      <c r="BU746" s="323"/>
      <c r="BV746" s="323"/>
      <c r="BW746" s="323"/>
      <c r="BX746" s="323"/>
      <c r="BY746" s="323"/>
      <c r="BZ746" s="323"/>
      <c r="CA746" s="323"/>
      <c r="CB746" s="323"/>
      <c r="CC746" s="323"/>
    </row>
    <row r="747" spans="23:81" x14ac:dyDescent="0.35">
      <c r="W747" s="305"/>
      <c r="X747" s="323"/>
      <c r="Y747" s="323"/>
      <c r="Z747" s="323"/>
      <c r="AA747" s="323"/>
      <c r="AB747" s="323"/>
      <c r="AC747" s="323"/>
      <c r="AD747" s="323"/>
      <c r="AE747" s="323"/>
      <c r="AF747" s="323"/>
      <c r="AG747" s="323"/>
      <c r="AH747" s="323"/>
      <c r="AI747" s="323"/>
      <c r="AJ747" s="323"/>
      <c r="AK747" s="323"/>
      <c r="AL747" s="323"/>
      <c r="AM747" s="323"/>
      <c r="AN747" s="457"/>
      <c r="AO747" s="457"/>
      <c r="AP747" s="457"/>
      <c r="AQ747" s="457"/>
      <c r="AR747" s="457"/>
      <c r="AS747" s="457"/>
      <c r="AT747" s="457"/>
      <c r="AU747" s="457"/>
      <c r="AV747" s="323"/>
      <c r="AW747" s="323"/>
      <c r="AX747" s="323"/>
      <c r="AY747" s="323"/>
      <c r="AZ747" s="323"/>
      <c r="BA747" s="323"/>
      <c r="BB747" s="323"/>
      <c r="BC747" s="323"/>
      <c r="BD747" s="323"/>
      <c r="BE747" s="323"/>
      <c r="BF747" s="323"/>
      <c r="BG747" s="323"/>
      <c r="BH747" s="323"/>
      <c r="BI747" s="323"/>
      <c r="BJ747" s="323"/>
      <c r="BK747" s="323"/>
      <c r="BL747" s="323"/>
      <c r="BM747" s="323"/>
      <c r="BN747" s="323"/>
      <c r="BO747" s="323"/>
      <c r="BP747" s="323"/>
      <c r="BQ747" s="323"/>
      <c r="BR747" s="323"/>
      <c r="BS747" s="323"/>
      <c r="BT747" s="323"/>
      <c r="BU747" s="323"/>
      <c r="BV747" s="323"/>
      <c r="BW747" s="323"/>
      <c r="BX747" s="323"/>
      <c r="BY747" s="323"/>
      <c r="BZ747" s="323"/>
      <c r="CA747" s="323"/>
      <c r="CB747" s="323"/>
      <c r="CC747" s="323"/>
    </row>
    <row r="748" spans="23:81" x14ac:dyDescent="0.35">
      <c r="W748" s="305"/>
      <c r="X748" s="323"/>
      <c r="Y748" s="323"/>
      <c r="Z748" s="323"/>
      <c r="AA748" s="323"/>
      <c r="AB748" s="323"/>
      <c r="AC748" s="323"/>
      <c r="AD748" s="323"/>
      <c r="AE748" s="323"/>
      <c r="AF748" s="323"/>
      <c r="AG748" s="323"/>
      <c r="AH748" s="323"/>
      <c r="AI748" s="323"/>
      <c r="AJ748" s="323"/>
      <c r="AK748" s="323"/>
      <c r="AL748" s="323"/>
      <c r="AM748" s="323"/>
      <c r="AN748" s="457"/>
      <c r="AO748" s="457"/>
      <c r="AP748" s="457"/>
      <c r="AQ748" s="457"/>
      <c r="AR748" s="457"/>
      <c r="AS748" s="457"/>
      <c r="AT748" s="457"/>
      <c r="AU748" s="457"/>
      <c r="AV748" s="323"/>
      <c r="AW748" s="323"/>
      <c r="AX748" s="323"/>
      <c r="AY748" s="323"/>
      <c r="AZ748" s="323"/>
      <c r="BA748" s="323"/>
      <c r="BB748" s="323"/>
      <c r="BC748" s="323"/>
      <c r="BD748" s="323"/>
      <c r="BE748" s="323"/>
      <c r="BF748" s="323"/>
      <c r="BG748" s="323"/>
      <c r="BH748" s="323"/>
      <c r="BI748" s="323"/>
      <c r="BJ748" s="323"/>
      <c r="BK748" s="323"/>
      <c r="BL748" s="323"/>
      <c r="BM748" s="323"/>
      <c r="BN748" s="323"/>
      <c r="BO748" s="323"/>
      <c r="BP748" s="323"/>
      <c r="BQ748" s="323"/>
      <c r="BR748" s="323"/>
      <c r="BS748" s="323"/>
      <c r="BT748" s="323"/>
      <c r="BU748" s="323"/>
      <c r="BV748" s="323"/>
      <c r="BW748" s="323"/>
      <c r="BX748" s="323"/>
      <c r="BY748" s="323"/>
      <c r="BZ748" s="323"/>
      <c r="CA748" s="323"/>
      <c r="CB748" s="323"/>
      <c r="CC748" s="323"/>
    </row>
    <row r="749" spans="23:81" x14ac:dyDescent="0.35">
      <c r="W749" s="305"/>
      <c r="X749" s="323"/>
      <c r="Y749" s="323"/>
      <c r="Z749" s="323"/>
      <c r="AA749" s="323"/>
      <c r="AB749" s="323"/>
      <c r="AC749" s="323"/>
      <c r="AD749" s="323"/>
      <c r="AE749" s="323"/>
      <c r="AF749" s="323"/>
      <c r="AG749" s="323"/>
      <c r="AH749" s="323"/>
      <c r="AI749" s="323"/>
      <c r="AJ749" s="323"/>
      <c r="AK749" s="323"/>
      <c r="AL749" s="323"/>
      <c r="AM749" s="323"/>
      <c r="AN749" s="457"/>
      <c r="AO749" s="457"/>
      <c r="AP749" s="457"/>
      <c r="AQ749" s="457"/>
      <c r="AR749" s="457"/>
      <c r="AS749" s="457"/>
      <c r="AT749" s="457"/>
      <c r="AU749" s="457"/>
      <c r="AV749" s="323"/>
      <c r="AW749" s="323"/>
      <c r="AX749" s="323"/>
      <c r="AY749" s="323"/>
      <c r="AZ749" s="323"/>
      <c r="BA749" s="323"/>
      <c r="BB749" s="323"/>
      <c r="BC749" s="323"/>
      <c r="BD749" s="323"/>
      <c r="BE749" s="323"/>
      <c r="BF749" s="323"/>
      <c r="BG749" s="323"/>
      <c r="BH749" s="323"/>
      <c r="BI749" s="323"/>
      <c r="BJ749" s="323"/>
      <c r="BK749" s="323"/>
      <c r="BL749" s="323"/>
      <c r="BM749" s="323"/>
      <c r="BN749" s="323"/>
      <c r="BO749" s="323"/>
      <c r="BP749" s="323"/>
      <c r="BQ749" s="323"/>
      <c r="BR749" s="323"/>
      <c r="BS749" s="323"/>
      <c r="BT749" s="323"/>
      <c r="BU749" s="323"/>
      <c r="BV749" s="323"/>
      <c r="BW749" s="323"/>
      <c r="BX749" s="323"/>
      <c r="BY749" s="323"/>
      <c r="BZ749" s="323"/>
      <c r="CA749" s="323"/>
      <c r="CB749" s="323"/>
      <c r="CC749" s="323"/>
    </row>
    <row r="750" spans="23:81" x14ac:dyDescent="0.35">
      <c r="W750" s="305"/>
      <c r="X750" s="323"/>
      <c r="Y750" s="323"/>
      <c r="Z750" s="323"/>
      <c r="AA750" s="323"/>
      <c r="AB750" s="323"/>
      <c r="AC750" s="323"/>
      <c r="AD750" s="323"/>
      <c r="AE750" s="323"/>
      <c r="AF750" s="323"/>
      <c r="AG750" s="323"/>
      <c r="AH750" s="323"/>
      <c r="AI750" s="323"/>
      <c r="AJ750" s="323"/>
      <c r="AK750" s="323"/>
      <c r="AL750" s="323"/>
      <c r="AM750" s="323"/>
      <c r="AN750" s="457"/>
      <c r="AO750" s="457"/>
      <c r="AP750" s="457"/>
      <c r="AQ750" s="457"/>
      <c r="AR750" s="457"/>
      <c r="AS750" s="457"/>
      <c r="AT750" s="457"/>
      <c r="AU750" s="457"/>
      <c r="AV750" s="323"/>
      <c r="AW750" s="323"/>
      <c r="AX750" s="323"/>
      <c r="AY750" s="323"/>
      <c r="AZ750" s="323"/>
      <c r="BA750" s="323"/>
      <c r="BB750" s="323"/>
      <c r="BC750" s="323"/>
      <c r="BD750" s="323"/>
      <c r="BE750" s="323"/>
      <c r="BF750" s="323"/>
      <c r="BG750" s="323"/>
      <c r="BH750" s="323"/>
      <c r="BI750" s="323"/>
      <c r="BJ750" s="323"/>
      <c r="BK750" s="323"/>
      <c r="BL750" s="323"/>
      <c r="BM750" s="323"/>
      <c r="BN750" s="323"/>
      <c r="BO750" s="323"/>
      <c r="BP750" s="323"/>
      <c r="BQ750" s="323"/>
      <c r="BR750" s="323"/>
      <c r="BS750" s="323"/>
      <c r="BT750" s="323"/>
      <c r="BU750" s="323"/>
      <c r="BV750" s="323"/>
      <c r="BW750" s="323"/>
      <c r="BX750" s="323"/>
      <c r="BY750" s="323"/>
      <c r="BZ750" s="323"/>
      <c r="CA750" s="323"/>
      <c r="CB750" s="323"/>
      <c r="CC750" s="323"/>
    </row>
    <row r="751" spans="23:81" x14ac:dyDescent="0.35">
      <c r="W751" s="305"/>
      <c r="X751" s="323"/>
      <c r="Y751" s="323"/>
      <c r="Z751" s="323"/>
      <c r="AA751" s="323"/>
      <c r="AB751" s="323"/>
      <c r="AC751" s="323"/>
      <c r="AD751" s="323"/>
      <c r="AE751" s="323"/>
      <c r="AF751" s="323"/>
      <c r="AG751" s="323"/>
      <c r="AH751" s="323"/>
      <c r="AI751" s="323"/>
      <c r="AJ751" s="323"/>
      <c r="AK751" s="323"/>
      <c r="AL751" s="323"/>
      <c r="AM751" s="323"/>
      <c r="AN751" s="457"/>
      <c r="AO751" s="457"/>
      <c r="AP751" s="457"/>
      <c r="AQ751" s="457"/>
      <c r="AR751" s="457"/>
      <c r="AS751" s="457"/>
      <c r="AT751" s="457"/>
      <c r="AU751" s="457"/>
      <c r="AV751" s="323"/>
      <c r="AW751" s="323"/>
      <c r="AX751" s="323"/>
      <c r="AY751" s="323"/>
      <c r="AZ751" s="323"/>
      <c r="BA751" s="323"/>
      <c r="BB751" s="323"/>
      <c r="BC751" s="323"/>
      <c r="BD751" s="323"/>
      <c r="BE751" s="323"/>
      <c r="BF751" s="323"/>
      <c r="BG751" s="323"/>
      <c r="BH751" s="323"/>
      <c r="BI751" s="323"/>
      <c r="BJ751" s="323"/>
      <c r="BK751" s="323"/>
      <c r="BL751" s="323"/>
      <c r="BM751" s="323"/>
      <c r="BN751" s="323"/>
      <c r="BO751" s="323"/>
      <c r="BP751" s="323"/>
      <c r="BQ751" s="323"/>
      <c r="BR751" s="323"/>
      <c r="BS751" s="323"/>
      <c r="BT751" s="323"/>
      <c r="BU751" s="323"/>
      <c r="BV751" s="323"/>
      <c r="BW751" s="323"/>
      <c r="BX751" s="323"/>
      <c r="BY751" s="323"/>
      <c r="BZ751" s="323"/>
      <c r="CA751" s="323"/>
      <c r="CB751" s="323"/>
      <c r="CC751" s="323"/>
    </row>
    <row r="752" spans="23:81" x14ac:dyDescent="0.35">
      <c r="W752" s="305"/>
      <c r="X752" s="323"/>
      <c r="Y752" s="323"/>
      <c r="Z752" s="323"/>
      <c r="AA752" s="323"/>
      <c r="AB752" s="323"/>
      <c r="AC752" s="323"/>
      <c r="AD752" s="323"/>
      <c r="AE752" s="323"/>
      <c r="AF752" s="323"/>
      <c r="AG752" s="323"/>
      <c r="AH752" s="323"/>
      <c r="AI752" s="323"/>
      <c r="AJ752" s="323"/>
      <c r="AK752" s="323"/>
      <c r="AL752" s="323"/>
      <c r="AM752" s="323"/>
      <c r="AN752" s="457"/>
      <c r="AO752" s="457"/>
      <c r="AP752" s="457"/>
      <c r="AQ752" s="457"/>
      <c r="AR752" s="457"/>
      <c r="AS752" s="457"/>
      <c r="AT752" s="457"/>
      <c r="AU752" s="457"/>
      <c r="AV752" s="323"/>
      <c r="AW752" s="323"/>
      <c r="AX752" s="323"/>
      <c r="AY752" s="323"/>
      <c r="AZ752" s="323"/>
      <c r="BA752" s="323"/>
      <c r="BB752" s="323"/>
      <c r="BC752" s="323"/>
      <c r="BD752" s="323"/>
      <c r="BE752" s="323"/>
      <c r="BF752" s="323"/>
      <c r="BG752" s="323"/>
      <c r="BH752" s="323"/>
      <c r="BI752" s="323"/>
      <c r="BJ752" s="323"/>
      <c r="BK752" s="323"/>
      <c r="BL752" s="323"/>
      <c r="BM752" s="323"/>
      <c r="BN752" s="323"/>
      <c r="BO752" s="323"/>
      <c r="BP752" s="323"/>
      <c r="BQ752" s="323"/>
      <c r="BR752" s="323"/>
      <c r="BS752" s="323"/>
      <c r="BT752" s="323"/>
      <c r="BU752" s="323"/>
      <c r="BV752" s="323"/>
      <c r="BW752" s="323"/>
      <c r="BX752" s="323"/>
      <c r="BY752" s="323"/>
      <c r="BZ752" s="323"/>
      <c r="CA752" s="323"/>
      <c r="CB752" s="323"/>
      <c r="CC752" s="323"/>
    </row>
    <row r="753" spans="23:81" x14ac:dyDescent="0.35">
      <c r="W753" s="305"/>
      <c r="X753" s="323"/>
      <c r="Y753" s="323"/>
      <c r="Z753" s="323"/>
      <c r="AA753" s="323"/>
      <c r="AB753" s="323"/>
      <c r="AC753" s="323"/>
      <c r="AD753" s="323"/>
      <c r="AE753" s="323"/>
      <c r="AF753" s="323"/>
      <c r="AG753" s="323"/>
      <c r="AH753" s="323"/>
      <c r="AI753" s="323"/>
      <c r="AJ753" s="323"/>
      <c r="AK753" s="323"/>
      <c r="AL753" s="323"/>
      <c r="AM753" s="323"/>
      <c r="AN753" s="457"/>
      <c r="AO753" s="457"/>
      <c r="AP753" s="457"/>
      <c r="AQ753" s="457"/>
      <c r="AR753" s="457"/>
      <c r="AS753" s="457"/>
      <c r="AT753" s="457"/>
      <c r="AU753" s="457"/>
      <c r="AV753" s="323"/>
      <c r="AW753" s="323"/>
      <c r="AX753" s="323"/>
      <c r="AY753" s="323"/>
      <c r="AZ753" s="323"/>
      <c r="BA753" s="323"/>
      <c r="BB753" s="323"/>
      <c r="BC753" s="323"/>
      <c r="BD753" s="323"/>
      <c r="BE753" s="323"/>
      <c r="BF753" s="323"/>
      <c r="BG753" s="323"/>
      <c r="BH753" s="323"/>
      <c r="BI753" s="323"/>
      <c r="BJ753" s="323"/>
      <c r="BK753" s="323"/>
      <c r="BL753" s="323"/>
      <c r="BM753" s="323"/>
      <c r="BN753" s="323"/>
      <c r="BO753" s="323"/>
      <c r="BP753" s="323"/>
      <c r="BQ753" s="323"/>
      <c r="BR753" s="323"/>
      <c r="BS753" s="323"/>
      <c r="BT753" s="323"/>
      <c r="BU753" s="323"/>
      <c r="BV753" s="323"/>
      <c r="BW753" s="323"/>
      <c r="BX753" s="323"/>
      <c r="BY753" s="323"/>
      <c r="BZ753" s="323"/>
      <c r="CA753" s="323"/>
      <c r="CB753" s="323"/>
      <c r="CC753" s="323"/>
    </row>
    <row r="754" spans="23:81" x14ac:dyDescent="0.35">
      <c r="W754" s="305"/>
      <c r="X754" s="323"/>
      <c r="Y754" s="323"/>
      <c r="Z754" s="323"/>
      <c r="AA754" s="323"/>
      <c r="AB754" s="323"/>
      <c r="AC754" s="323"/>
      <c r="AD754" s="323"/>
      <c r="AE754" s="323"/>
      <c r="AF754" s="323"/>
      <c r="AG754" s="323"/>
      <c r="AH754" s="323"/>
      <c r="AI754" s="323"/>
      <c r="AJ754" s="323"/>
      <c r="AK754" s="323"/>
      <c r="AL754" s="323"/>
      <c r="AM754" s="323"/>
      <c r="AN754" s="457"/>
      <c r="AO754" s="457"/>
      <c r="AP754" s="457"/>
      <c r="AQ754" s="457"/>
      <c r="AR754" s="457"/>
      <c r="AS754" s="457"/>
      <c r="AT754" s="457"/>
      <c r="AU754" s="457"/>
      <c r="AV754" s="323"/>
      <c r="AW754" s="323"/>
      <c r="AX754" s="323"/>
      <c r="AY754" s="323"/>
      <c r="AZ754" s="323"/>
      <c r="BA754" s="323"/>
      <c r="BB754" s="323"/>
      <c r="BC754" s="323"/>
      <c r="BD754" s="323"/>
      <c r="BE754" s="323"/>
      <c r="BF754" s="323"/>
      <c r="BG754" s="323"/>
      <c r="BH754" s="323"/>
      <c r="BI754" s="323"/>
      <c r="BJ754" s="323"/>
      <c r="BK754" s="323"/>
      <c r="BL754" s="323"/>
      <c r="BM754" s="323"/>
      <c r="BN754" s="323"/>
      <c r="BO754" s="323"/>
      <c r="BP754" s="323"/>
      <c r="BQ754" s="323"/>
      <c r="BR754" s="323"/>
      <c r="BS754" s="323"/>
      <c r="BT754" s="323"/>
      <c r="BU754" s="323"/>
      <c r="BV754" s="323"/>
      <c r="BW754" s="323"/>
      <c r="BX754" s="323"/>
      <c r="BY754" s="323"/>
      <c r="BZ754" s="323"/>
      <c r="CA754" s="323"/>
      <c r="CB754" s="323"/>
      <c r="CC754" s="323"/>
    </row>
    <row r="755" spans="23:81" x14ac:dyDescent="0.35">
      <c r="W755" s="305"/>
      <c r="X755" s="323"/>
      <c r="Y755" s="323"/>
      <c r="Z755" s="323"/>
      <c r="AA755" s="323"/>
      <c r="AB755" s="323"/>
      <c r="AC755" s="323"/>
      <c r="AD755" s="323"/>
      <c r="AE755" s="323"/>
      <c r="AF755" s="323"/>
      <c r="AG755" s="323"/>
      <c r="AH755" s="323"/>
      <c r="AI755" s="323"/>
      <c r="AJ755" s="323"/>
      <c r="AK755" s="323"/>
      <c r="AL755" s="323"/>
      <c r="AM755" s="323"/>
      <c r="AN755" s="457"/>
      <c r="AO755" s="457"/>
      <c r="AP755" s="457"/>
      <c r="AQ755" s="457"/>
      <c r="AR755" s="457"/>
      <c r="AS755" s="457"/>
      <c r="AT755" s="457"/>
      <c r="AU755" s="457"/>
      <c r="AV755" s="323"/>
      <c r="AW755" s="323"/>
      <c r="AX755" s="323"/>
      <c r="AY755" s="323"/>
      <c r="AZ755" s="323"/>
      <c r="BA755" s="323"/>
      <c r="BB755" s="323"/>
      <c r="BC755" s="323"/>
      <c r="BD755" s="323"/>
      <c r="BE755" s="323"/>
      <c r="BF755" s="323"/>
      <c r="BG755" s="323"/>
      <c r="BH755" s="323"/>
      <c r="BI755" s="323"/>
      <c r="BJ755" s="323"/>
      <c r="BK755" s="323"/>
      <c r="BL755" s="323"/>
      <c r="BM755" s="323"/>
      <c r="BN755" s="323"/>
      <c r="BO755" s="323"/>
      <c r="BP755" s="323"/>
      <c r="BQ755" s="323"/>
      <c r="BR755" s="323"/>
      <c r="BS755" s="323"/>
      <c r="BT755" s="323"/>
      <c r="BU755" s="323"/>
      <c r="BV755" s="323"/>
      <c r="BW755" s="323"/>
      <c r="BX755" s="323"/>
      <c r="BY755" s="323"/>
      <c r="BZ755" s="323"/>
      <c r="CA755" s="323"/>
      <c r="CB755" s="323"/>
      <c r="CC755" s="323"/>
    </row>
    <row r="756" spans="23:81" x14ac:dyDescent="0.35">
      <c r="W756" s="305"/>
      <c r="X756" s="323"/>
      <c r="Y756" s="323"/>
      <c r="Z756" s="323"/>
      <c r="AA756" s="323"/>
      <c r="AB756" s="323"/>
      <c r="AC756" s="323"/>
      <c r="AD756" s="323"/>
      <c r="AE756" s="323"/>
      <c r="AF756" s="323"/>
      <c r="AG756" s="323"/>
      <c r="AH756" s="323"/>
      <c r="AI756" s="323"/>
      <c r="AJ756" s="323"/>
      <c r="AK756" s="323"/>
      <c r="AL756" s="323"/>
      <c r="AM756" s="323"/>
      <c r="AN756" s="457"/>
      <c r="AO756" s="457"/>
      <c r="AP756" s="457"/>
      <c r="AQ756" s="457"/>
      <c r="AR756" s="457"/>
      <c r="AS756" s="457"/>
      <c r="AT756" s="457"/>
      <c r="AU756" s="457"/>
      <c r="AV756" s="323"/>
      <c r="AW756" s="323"/>
      <c r="AX756" s="323"/>
      <c r="AY756" s="323"/>
      <c r="AZ756" s="323"/>
      <c r="BA756" s="323"/>
      <c r="BB756" s="323"/>
      <c r="BC756" s="323"/>
      <c r="BD756" s="323"/>
      <c r="BE756" s="323"/>
      <c r="BF756" s="323"/>
      <c r="BG756" s="323"/>
      <c r="BH756" s="323"/>
      <c r="BI756" s="323"/>
      <c r="BJ756" s="323"/>
      <c r="BK756" s="323"/>
      <c r="BL756" s="323"/>
      <c r="BM756" s="323"/>
      <c r="BN756" s="323"/>
      <c r="BO756" s="323"/>
      <c r="BP756" s="323"/>
      <c r="BQ756" s="323"/>
      <c r="BR756" s="323"/>
      <c r="BS756" s="323"/>
      <c r="BT756" s="323"/>
      <c r="BU756" s="323"/>
      <c r="BV756" s="323"/>
      <c r="BW756" s="323"/>
      <c r="BX756" s="323"/>
      <c r="BY756" s="323"/>
      <c r="BZ756" s="323"/>
      <c r="CA756" s="323"/>
      <c r="CB756" s="323"/>
      <c r="CC756" s="323"/>
    </row>
    <row r="757" spans="23:81" x14ac:dyDescent="0.35">
      <c r="W757" s="305"/>
      <c r="X757" s="323"/>
      <c r="Y757" s="323"/>
      <c r="Z757" s="323"/>
      <c r="AA757" s="323"/>
      <c r="AB757" s="323"/>
      <c r="AC757" s="323"/>
      <c r="AD757" s="323"/>
      <c r="AE757" s="323"/>
      <c r="AF757" s="323"/>
      <c r="AG757" s="323"/>
      <c r="AH757" s="323"/>
      <c r="AI757" s="323"/>
      <c r="AJ757" s="323"/>
      <c r="AK757" s="323"/>
      <c r="AL757" s="323"/>
      <c r="AM757" s="323"/>
      <c r="AN757" s="457"/>
      <c r="AO757" s="457"/>
      <c r="AP757" s="457"/>
      <c r="AQ757" s="457"/>
      <c r="AR757" s="457"/>
      <c r="AS757" s="457"/>
      <c r="AT757" s="457"/>
      <c r="AU757" s="457"/>
      <c r="AV757" s="323"/>
      <c r="AW757" s="323"/>
      <c r="AX757" s="323"/>
      <c r="AY757" s="323"/>
      <c r="AZ757" s="323"/>
      <c r="BA757" s="323"/>
      <c r="BB757" s="323"/>
      <c r="BC757" s="323"/>
      <c r="BD757" s="323"/>
      <c r="BE757" s="323"/>
      <c r="BF757" s="323"/>
      <c r="BG757" s="323"/>
      <c r="BH757" s="323"/>
      <c r="BI757" s="323"/>
      <c r="BJ757" s="323"/>
      <c r="BK757" s="323"/>
      <c r="BL757" s="323"/>
      <c r="BM757" s="323"/>
      <c r="BN757" s="323"/>
      <c r="BO757" s="323"/>
      <c r="BP757" s="323"/>
      <c r="BQ757" s="323"/>
      <c r="BR757" s="323"/>
      <c r="BS757" s="323"/>
      <c r="BT757" s="323"/>
      <c r="BU757" s="323"/>
      <c r="BV757" s="323"/>
      <c r="BW757" s="323"/>
      <c r="BX757" s="323"/>
      <c r="BY757" s="323"/>
      <c r="BZ757" s="323"/>
      <c r="CA757" s="323"/>
      <c r="CB757" s="323"/>
      <c r="CC757" s="323"/>
    </row>
    <row r="758" spans="23:81" x14ac:dyDescent="0.35">
      <c r="W758" s="305"/>
      <c r="X758" s="323"/>
      <c r="Y758" s="323"/>
      <c r="Z758" s="323"/>
      <c r="AA758" s="323"/>
      <c r="AB758" s="323"/>
      <c r="AC758" s="323"/>
      <c r="AD758" s="323"/>
      <c r="AE758" s="323"/>
      <c r="AF758" s="323"/>
      <c r="AG758" s="323"/>
      <c r="AH758" s="323"/>
      <c r="AI758" s="323"/>
      <c r="AJ758" s="323"/>
      <c r="AK758" s="323"/>
      <c r="AL758" s="323"/>
      <c r="AM758" s="323"/>
      <c r="AN758" s="457"/>
      <c r="AO758" s="457"/>
      <c r="AP758" s="457"/>
      <c r="AQ758" s="457"/>
      <c r="AR758" s="457"/>
      <c r="AS758" s="457"/>
      <c r="AT758" s="457"/>
      <c r="AU758" s="457"/>
      <c r="AV758" s="323"/>
      <c r="AW758" s="323"/>
      <c r="AX758" s="323"/>
      <c r="AY758" s="323"/>
      <c r="AZ758" s="323"/>
      <c r="BA758" s="323"/>
      <c r="BB758" s="323"/>
      <c r="BC758" s="323"/>
      <c r="BD758" s="323"/>
      <c r="BE758" s="323"/>
      <c r="BF758" s="323"/>
      <c r="BG758" s="323"/>
      <c r="BH758" s="323"/>
      <c r="BI758" s="323"/>
      <c r="BJ758" s="323"/>
      <c r="BK758" s="323"/>
      <c r="BL758" s="323"/>
      <c r="BM758" s="323"/>
      <c r="BN758" s="323"/>
      <c r="BO758" s="323"/>
      <c r="BP758" s="323"/>
      <c r="BQ758" s="323"/>
      <c r="BR758" s="323"/>
      <c r="BS758" s="323"/>
      <c r="BT758" s="323"/>
      <c r="BU758" s="323"/>
      <c r="BV758" s="323"/>
      <c r="BW758" s="323"/>
      <c r="BX758" s="323"/>
      <c r="BY758" s="323"/>
      <c r="BZ758" s="323"/>
      <c r="CA758" s="323"/>
      <c r="CB758" s="323"/>
      <c r="CC758" s="323"/>
    </row>
    <row r="759" spans="23:81" x14ac:dyDescent="0.35">
      <c r="W759" s="305"/>
      <c r="X759" s="323"/>
      <c r="Y759" s="323"/>
      <c r="Z759" s="323"/>
      <c r="AA759" s="323"/>
      <c r="AB759" s="323"/>
      <c r="AC759" s="323"/>
      <c r="AD759" s="323"/>
      <c r="AE759" s="323"/>
      <c r="AF759" s="323"/>
      <c r="AG759" s="323"/>
      <c r="AH759" s="323"/>
      <c r="AI759" s="323"/>
      <c r="AJ759" s="323"/>
      <c r="AK759" s="323"/>
      <c r="AL759" s="323"/>
      <c r="AM759" s="323"/>
      <c r="AN759" s="457"/>
      <c r="AO759" s="457"/>
      <c r="AP759" s="457"/>
      <c r="AQ759" s="457"/>
      <c r="AR759" s="457"/>
      <c r="AS759" s="457"/>
      <c r="AT759" s="457"/>
      <c r="AU759" s="457"/>
      <c r="AV759" s="323"/>
      <c r="AW759" s="323"/>
      <c r="AX759" s="323"/>
      <c r="AY759" s="323"/>
      <c r="AZ759" s="323"/>
      <c r="BA759" s="323"/>
      <c r="BB759" s="323"/>
      <c r="BC759" s="323"/>
      <c r="BD759" s="323"/>
      <c r="BE759" s="323"/>
      <c r="BF759" s="323"/>
      <c r="BG759" s="323"/>
      <c r="BH759" s="323"/>
      <c r="BI759" s="323"/>
      <c r="BJ759" s="323"/>
      <c r="BK759" s="323"/>
      <c r="BL759" s="323"/>
      <c r="BM759" s="323"/>
      <c r="BN759" s="323"/>
      <c r="BO759" s="323"/>
      <c r="BP759" s="323"/>
      <c r="BQ759" s="323"/>
      <c r="BR759" s="323"/>
      <c r="BS759" s="323"/>
      <c r="BT759" s="323"/>
      <c r="BU759" s="323"/>
      <c r="BV759" s="323"/>
      <c r="BW759" s="323"/>
      <c r="BX759" s="323"/>
      <c r="BY759" s="323"/>
      <c r="BZ759" s="323"/>
      <c r="CA759" s="323"/>
      <c r="CB759" s="323"/>
      <c r="CC759" s="323"/>
    </row>
    <row r="760" spans="23:81" x14ac:dyDescent="0.35">
      <c r="W760" s="305"/>
      <c r="X760" s="323"/>
      <c r="Y760" s="323"/>
      <c r="Z760" s="323"/>
      <c r="AA760" s="323"/>
      <c r="AB760" s="323"/>
      <c r="AC760" s="323"/>
      <c r="AD760" s="323"/>
      <c r="AE760" s="323"/>
      <c r="AF760" s="323"/>
      <c r="AG760" s="323"/>
      <c r="AH760" s="323"/>
      <c r="AI760" s="323"/>
      <c r="AJ760" s="323"/>
      <c r="AK760" s="323"/>
      <c r="AL760" s="323"/>
      <c r="AM760" s="323"/>
      <c r="AN760" s="457"/>
      <c r="AO760" s="457"/>
      <c r="AP760" s="457"/>
      <c r="AQ760" s="457"/>
      <c r="AR760" s="457"/>
      <c r="AS760" s="457"/>
      <c r="AT760" s="457"/>
      <c r="AU760" s="457"/>
      <c r="AV760" s="323"/>
      <c r="AW760" s="323"/>
      <c r="AX760" s="323"/>
      <c r="AY760" s="323"/>
      <c r="AZ760" s="323"/>
      <c r="BA760" s="323"/>
      <c r="BB760" s="323"/>
      <c r="BC760" s="323"/>
      <c r="BD760" s="323"/>
      <c r="BE760" s="323"/>
      <c r="BF760" s="323"/>
      <c r="BG760" s="323"/>
      <c r="BH760" s="323"/>
      <c r="BI760" s="323"/>
      <c r="BJ760" s="323"/>
      <c r="BK760" s="323"/>
      <c r="BL760" s="323"/>
      <c r="BM760" s="323"/>
      <c r="BN760" s="323"/>
      <c r="BO760" s="323"/>
      <c r="BP760" s="323"/>
      <c r="BQ760" s="323"/>
      <c r="BR760" s="323"/>
      <c r="BS760" s="323"/>
      <c r="BT760" s="323"/>
      <c r="BU760" s="323"/>
      <c r="BV760" s="323"/>
      <c r="BW760" s="323"/>
      <c r="BX760" s="323"/>
      <c r="BY760" s="323"/>
      <c r="BZ760" s="323"/>
      <c r="CA760" s="323"/>
      <c r="CB760" s="323"/>
      <c r="CC760" s="323"/>
    </row>
    <row r="761" spans="23:81" x14ac:dyDescent="0.35">
      <c r="W761" s="305"/>
      <c r="X761" s="323"/>
      <c r="Y761" s="323"/>
      <c r="Z761" s="323"/>
      <c r="AA761" s="323"/>
      <c r="AB761" s="323"/>
      <c r="AC761" s="323"/>
      <c r="AD761" s="323"/>
      <c r="AE761" s="323"/>
      <c r="AF761" s="323"/>
      <c r="AG761" s="323"/>
      <c r="AH761" s="323"/>
      <c r="AI761" s="323"/>
      <c r="AJ761" s="323"/>
      <c r="AK761" s="323"/>
      <c r="AL761" s="323"/>
      <c r="AM761" s="323"/>
      <c r="AN761" s="457"/>
      <c r="AO761" s="457"/>
      <c r="AP761" s="457"/>
      <c r="AQ761" s="457"/>
      <c r="AR761" s="457"/>
      <c r="AS761" s="457"/>
      <c r="AT761" s="457"/>
      <c r="AU761" s="457"/>
      <c r="AV761" s="323"/>
      <c r="AW761" s="323"/>
      <c r="AX761" s="323"/>
      <c r="AY761" s="323"/>
      <c r="AZ761" s="323"/>
      <c r="BA761" s="323"/>
      <c r="BB761" s="323"/>
      <c r="BC761" s="323"/>
      <c r="BD761" s="323"/>
      <c r="BE761" s="323"/>
      <c r="BF761" s="323"/>
      <c r="BG761" s="323"/>
      <c r="BH761" s="323"/>
      <c r="BI761" s="323"/>
      <c r="BJ761" s="323"/>
      <c r="BK761" s="323"/>
      <c r="BL761" s="323"/>
      <c r="BM761" s="323"/>
      <c r="BN761" s="323"/>
      <c r="BO761" s="323"/>
      <c r="BP761" s="323"/>
      <c r="BQ761" s="323"/>
      <c r="BR761" s="323"/>
      <c r="BS761" s="323"/>
      <c r="BT761" s="323"/>
      <c r="BU761" s="323"/>
      <c r="BV761" s="323"/>
      <c r="BW761" s="323"/>
      <c r="BX761" s="323"/>
      <c r="BY761" s="323"/>
      <c r="BZ761" s="323"/>
      <c r="CA761" s="323"/>
      <c r="CB761" s="323"/>
      <c r="CC761" s="323"/>
    </row>
    <row r="762" spans="23:81" x14ac:dyDescent="0.35">
      <c r="W762" s="305"/>
      <c r="X762" s="323"/>
      <c r="Y762" s="323"/>
      <c r="Z762" s="323"/>
      <c r="AA762" s="323"/>
      <c r="AB762" s="323"/>
      <c r="AC762" s="323"/>
      <c r="AD762" s="323"/>
      <c r="AE762" s="323"/>
      <c r="AF762" s="323"/>
      <c r="AG762" s="323"/>
      <c r="AH762" s="323"/>
      <c r="AI762" s="323"/>
      <c r="AJ762" s="323"/>
      <c r="AK762" s="323"/>
      <c r="AL762" s="323"/>
      <c r="AM762" s="323"/>
      <c r="AN762" s="457"/>
      <c r="AO762" s="457"/>
      <c r="AP762" s="457"/>
      <c r="AQ762" s="457"/>
      <c r="AR762" s="457"/>
      <c r="AS762" s="457"/>
      <c r="AT762" s="457"/>
      <c r="AU762" s="457"/>
      <c r="AV762" s="323"/>
      <c r="AW762" s="323"/>
      <c r="AX762" s="323"/>
      <c r="AY762" s="323"/>
      <c r="AZ762" s="323"/>
      <c r="BA762" s="323"/>
      <c r="BB762" s="323"/>
      <c r="BC762" s="323"/>
      <c r="BD762" s="323"/>
      <c r="BE762" s="323"/>
      <c r="BF762" s="323"/>
      <c r="BG762" s="323"/>
      <c r="BH762" s="323"/>
      <c r="BI762" s="323"/>
      <c r="BJ762" s="323"/>
      <c r="BK762" s="323"/>
      <c r="BL762" s="323"/>
      <c r="BM762" s="323"/>
      <c r="BN762" s="323"/>
      <c r="BO762" s="323"/>
      <c r="BP762" s="323"/>
      <c r="BQ762" s="323"/>
      <c r="BR762" s="323"/>
      <c r="BS762" s="323"/>
      <c r="BT762" s="323"/>
      <c r="BU762" s="323"/>
      <c r="BV762" s="323"/>
      <c r="BW762" s="323"/>
      <c r="BX762" s="323"/>
      <c r="BY762" s="323"/>
      <c r="BZ762" s="323"/>
      <c r="CA762" s="323"/>
      <c r="CB762" s="323"/>
      <c r="CC762" s="323"/>
    </row>
    <row r="763" spans="23:81" x14ac:dyDescent="0.35">
      <c r="W763" s="305"/>
      <c r="X763" s="323"/>
      <c r="Y763" s="323"/>
      <c r="Z763" s="323"/>
      <c r="AA763" s="323"/>
      <c r="AB763" s="323"/>
      <c r="AC763" s="323"/>
      <c r="AD763" s="323"/>
      <c r="AE763" s="323"/>
      <c r="AF763" s="323"/>
      <c r="AG763" s="323"/>
      <c r="AH763" s="323"/>
      <c r="AI763" s="323"/>
      <c r="AJ763" s="323"/>
      <c r="AK763" s="323"/>
      <c r="AL763" s="323"/>
      <c r="AM763" s="323"/>
      <c r="AN763" s="457"/>
      <c r="AO763" s="457"/>
      <c r="AP763" s="457"/>
      <c r="AQ763" s="457"/>
      <c r="AR763" s="457"/>
      <c r="AS763" s="457"/>
      <c r="AT763" s="457"/>
      <c r="AU763" s="457"/>
      <c r="AV763" s="323"/>
      <c r="AW763" s="323"/>
      <c r="AX763" s="323"/>
      <c r="AY763" s="323"/>
      <c r="AZ763" s="323"/>
      <c r="BA763" s="323"/>
      <c r="BB763" s="323"/>
      <c r="BC763" s="323"/>
      <c r="BD763" s="323"/>
      <c r="BE763" s="323"/>
      <c r="BF763" s="323"/>
      <c r="BG763" s="323"/>
      <c r="BH763" s="323"/>
      <c r="BI763" s="323"/>
      <c r="BJ763" s="323"/>
      <c r="BK763" s="323"/>
      <c r="BL763" s="323"/>
      <c r="BM763" s="323"/>
      <c r="BN763" s="323"/>
      <c r="BO763" s="323"/>
      <c r="BP763" s="323"/>
      <c r="BQ763" s="323"/>
      <c r="BR763" s="323"/>
      <c r="BS763" s="323"/>
      <c r="BT763" s="323"/>
      <c r="BU763" s="323"/>
      <c r="BV763" s="323"/>
      <c r="BW763" s="323"/>
      <c r="BX763" s="323"/>
      <c r="BY763" s="323"/>
      <c r="BZ763" s="323"/>
      <c r="CA763" s="323"/>
      <c r="CB763" s="323"/>
      <c r="CC763" s="323"/>
    </row>
    <row r="764" spans="23:81" x14ac:dyDescent="0.35">
      <c r="W764" s="305"/>
      <c r="X764" s="323"/>
      <c r="Y764" s="323"/>
      <c r="Z764" s="323"/>
      <c r="AA764" s="323"/>
      <c r="AB764" s="323"/>
      <c r="AC764" s="323"/>
      <c r="AD764" s="323"/>
      <c r="AE764" s="323"/>
      <c r="AF764" s="323"/>
      <c r="AG764" s="323"/>
      <c r="AH764" s="323"/>
      <c r="AI764" s="323"/>
      <c r="AJ764" s="323"/>
      <c r="AK764" s="323"/>
      <c r="AL764" s="323"/>
      <c r="AM764" s="323"/>
      <c r="AN764" s="457"/>
      <c r="AO764" s="457"/>
      <c r="AP764" s="457"/>
      <c r="AQ764" s="457"/>
      <c r="AR764" s="457"/>
      <c r="AS764" s="457"/>
      <c r="AT764" s="457"/>
      <c r="AU764" s="457"/>
      <c r="AV764" s="323"/>
      <c r="AW764" s="323"/>
      <c r="AX764" s="323"/>
      <c r="AY764" s="323"/>
      <c r="AZ764" s="323"/>
      <c r="BA764" s="323"/>
      <c r="BB764" s="323"/>
      <c r="BC764" s="323"/>
      <c r="BD764" s="323"/>
      <c r="BE764" s="323"/>
      <c r="BF764" s="323"/>
      <c r="BG764" s="323"/>
      <c r="BH764" s="323"/>
      <c r="BI764" s="323"/>
      <c r="BJ764" s="323"/>
      <c r="BK764" s="323"/>
      <c r="BL764" s="323"/>
      <c r="BM764" s="323"/>
      <c r="BN764" s="323"/>
      <c r="BO764" s="323"/>
      <c r="BP764" s="323"/>
      <c r="BQ764" s="323"/>
      <c r="BR764" s="323"/>
      <c r="BS764" s="323"/>
      <c r="BT764" s="323"/>
      <c r="BU764" s="323"/>
      <c r="BV764" s="323"/>
      <c r="BW764" s="323"/>
      <c r="BX764" s="323"/>
      <c r="BY764" s="323"/>
      <c r="BZ764" s="323"/>
      <c r="CA764" s="323"/>
      <c r="CB764" s="323"/>
      <c r="CC764" s="323"/>
    </row>
    <row r="765" spans="23:81" x14ac:dyDescent="0.35">
      <c r="W765" s="305"/>
      <c r="X765" s="323"/>
      <c r="Y765" s="323"/>
      <c r="Z765" s="323"/>
      <c r="AA765" s="323"/>
      <c r="AB765" s="323"/>
      <c r="AC765" s="323"/>
      <c r="AD765" s="323"/>
      <c r="AE765" s="323"/>
      <c r="AF765" s="323"/>
      <c r="AG765" s="323"/>
      <c r="AH765" s="323"/>
      <c r="AI765" s="323"/>
      <c r="AJ765" s="323"/>
      <c r="AK765" s="323"/>
      <c r="AL765" s="323"/>
      <c r="AM765" s="323"/>
      <c r="AN765" s="457"/>
      <c r="AO765" s="457"/>
      <c r="AP765" s="457"/>
      <c r="AQ765" s="457"/>
      <c r="AR765" s="457"/>
      <c r="AS765" s="457"/>
      <c r="AT765" s="457"/>
      <c r="AU765" s="457"/>
      <c r="AV765" s="323"/>
      <c r="AW765" s="323"/>
      <c r="AX765" s="323"/>
      <c r="AY765" s="323"/>
      <c r="AZ765" s="323"/>
      <c r="BA765" s="323"/>
      <c r="BB765" s="323"/>
      <c r="BC765" s="323"/>
      <c r="BD765" s="323"/>
      <c r="BE765" s="323"/>
      <c r="BF765" s="323"/>
      <c r="BG765" s="323"/>
      <c r="BH765" s="323"/>
      <c r="BI765" s="323"/>
      <c r="BJ765" s="323"/>
      <c r="BK765" s="323"/>
      <c r="BL765" s="323"/>
      <c r="BM765" s="323"/>
      <c r="BN765" s="323"/>
      <c r="BO765" s="323"/>
      <c r="BP765" s="323"/>
      <c r="BQ765" s="323"/>
      <c r="BR765" s="323"/>
      <c r="BS765" s="323"/>
      <c r="BT765" s="323"/>
      <c r="BU765" s="323"/>
      <c r="BV765" s="323"/>
      <c r="BW765" s="323"/>
      <c r="BX765" s="323"/>
      <c r="BY765" s="323"/>
      <c r="BZ765" s="323"/>
      <c r="CA765" s="323"/>
      <c r="CB765" s="323"/>
      <c r="CC765" s="323"/>
    </row>
    <row r="766" spans="23:81" x14ac:dyDescent="0.35">
      <c r="W766" s="305"/>
      <c r="X766" s="323"/>
      <c r="Y766" s="323"/>
      <c r="Z766" s="323"/>
      <c r="AA766" s="323"/>
      <c r="AB766" s="323"/>
      <c r="AC766" s="323"/>
      <c r="AD766" s="323"/>
      <c r="AE766" s="323"/>
      <c r="AF766" s="323"/>
      <c r="AG766" s="323"/>
      <c r="AH766" s="323"/>
      <c r="AI766" s="323"/>
      <c r="AJ766" s="323"/>
      <c r="AK766" s="323"/>
      <c r="AL766" s="323"/>
      <c r="AM766" s="323"/>
      <c r="AN766" s="457"/>
      <c r="AO766" s="457"/>
      <c r="AP766" s="457"/>
      <c r="AQ766" s="457"/>
      <c r="AR766" s="457"/>
      <c r="AS766" s="457"/>
      <c r="AT766" s="457"/>
      <c r="AU766" s="457"/>
      <c r="AV766" s="323"/>
      <c r="AW766" s="323"/>
      <c r="AX766" s="323"/>
      <c r="AY766" s="323"/>
      <c r="AZ766" s="323"/>
      <c r="BA766" s="323"/>
      <c r="BB766" s="323"/>
      <c r="BC766" s="323"/>
      <c r="BD766" s="323"/>
      <c r="BE766" s="323"/>
      <c r="BF766" s="323"/>
      <c r="BG766" s="323"/>
      <c r="BH766" s="323"/>
      <c r="BI766" s="323"/>
      <c r="BJ766" s="323"/>
      <c r="BK766" s="323"/>
      <c r="BL766" s="323"/>
      <c r="BM766" s="323"/>
      <c r="BN766" s="323"/>
      <c r="BO766" s="323"/>
      <c r="BP766" s="323"/>
      <c r="BQ766" s="323"/>
      <c r="BR766" s="323"/>
      <c r="BS766" s="323"/>
      <c r="BT766" s="323"/>
      <c r="BU766" s="323"/>
      <c r="BV766" s="323"/>
      <c r="BW766" s="323"/>
      <c r="BX766" s="323"/>
      <c r="BY766" s="323"/>
      <c r="BZ766" s="323"/>
      <c r="CA766" s="323"/>
      <c r="CB766" s="323"/>
      <c r="CC766" s="323"/>
    </row>
    <row r="767" spans="23:81" x14ac:dyDescent="0.35">
      <c r="W767" s="305"/>
      <c r="X767" s="323"/>
      <c r="Y767" s="323"/>
      <c r="Z767" s="323"/>
      <c r="AA767" s="323"/>
      <c r="AB767" s="323"/>
      <c r="AC767" s="323"/>
      <c r="AD767" s="323"/>
      <c r="AE767" s="323"/>
      <c r="AF767" s="323"/>
      <c r="AG767" s="323"/>
      <c r="AH767" s="323"/>
      <c r="AI767" s="323"/>
      <c r="AJ767" s="323"/>
      <c r="AK767" s="323"/>
      <c r="AL767" s="323"/>
      <c r="AM767" s="323"/>
      <c r="AN767" s="457"/>
      <c r="AO767" s="457"/>
      <c r="AP767" s="457"/>
      <c r="AQ767" s="457"/>
      <c r="AR767" s="457"/>
      <c r="AS767" s="457"/>
      <c r="AT767" s="457"/>
      <c r="AU767" s="457"/>
      <c r="AV767" s="323"/>
      <c r="AW767" s="323"/>
      <c r="AX767" s="323"/>
      <c r="AY767" s="323"/>
      <c r="AZ767" s="323"/>
      <c r="BA767" s="323"/>
      <c r="BB767" s="323"/>
      <c r="BC767" s="323"/>
      <c r="BD767" s="323"/>
      <c r="BE767" s="323"/>
      <c r="BF767" s="323"/>
      <c r="BG767" s="323"/>
      <c r="BH767" s="323"/>
      <c r="BI767" s="323"/>
      <c r="BJ767" s="323"/>
      <c r="BK767" s="323"/>
      <c r="BL767" s="323"/>
      <c r="BM767" s="323"/>
      <c r="BN767" s="323"/>
      <c r="BO767" s="323"/>
      <c r="BP767" s="323"/>
      <c r="BQ767" s="323"/>
      <c r="BR767" s="323"/>
      <c r="BS767" s="323"/>
      <c r="BT767" s="323"/>
      <c r="BU767" s="323"/>
      <c r="BV767" s="323"/>
      <c r="BW767" s="323"/>
      <c r="BX767" s="323"/>
      <c r="BY767" s="323"/>
      <c r="BZ767" s="323"/>
      <c r="CA767" s="323"/>
      <c r="CB767" s="323"/>
      <c r="CC767" s="323"/>
    </row>
    <row r="768" spans="23:81" x14ac:dyDescent="0.35">
      <c r="W768" s="305"/>
      <c r="X768" s="323"/>
      <c r="Y768" s="323"/>
      <c r="Z768" s="323"/>
      <c r="AA768" s="323"/>
      <c r="AB768" s="323"/>
      <c r="AC768" s="323"/>
      <c r="AD768" s="323"/>
      <c r="AE768" s="323"/>
      <c r="AF768" s="323"/>
      <c r="AG768" s="323"/>
      <c r="AH768" s="323"/>
      <c r="AI768" s="323"/>
      <c r="AJ768" s="323"/>
      <c r="AK768" s="323"/>
      <c r="AL768" s="323"/>
      <c r="AM768" s="323"/>
      <c r="AN768" s="457"/>
      <c r="AO768" s="457"/>
      <c r="AP768" s="457"/>
      <c r="AQ768" s="457"/>
      <c r="AR768" s="457"/>
      <c r="AS768" s="457"/>
      <c r="AT768" s="457"/>
      <c r="AU768" s="457"/>
      <c r="AV768" s="323"/>
      <c r="AW768" s="323"/>
      <c r="AX768" s="323"/>
      <c r="AY768" s="323"/>
      <c r="AZ768" s="323"/>
      <c r="BA768" s="323"/>
      <c r="BB768" s="323"/>
      <c r="BC768" s="323"/>
      <c r="BD768" s="323"/>
      <c r="BE768" s="323"/>
      <c r="BF768" s="323"/>
      <c r="BG768" s="323"/>
      <c r="BH768" s="323"/>
      <c r="BI768" s="323"/>
      <c r="BJ768" s="323"/>
      <c r="BK768" s="323"/>
      <c r="BL768" s="323"/>
      <c r="BM768" s="323"/>
      <c r="BN768" s="323"/>
      <c r="BO768" s="323"/>
      <c r="BP768" s="323"/>
      <c r="BQ768" s="323"/>
      <c r="BR768" s="323"/>
      <c r="BS768" s="323"/>
      <c r="BT768" s="323"/>
      <c r="BU768" s="323"/>
      <c r="BV768" s="323"/>
      <c r="BW768" s="323"/>
      <c r="BX768" s="323"/>
      <c r="BY768" s="323"/>
      <c r="BZ768" s="323"/>
      <c r="CA768" s="323"/>
      <c r="CB768" s="323"/>
      <c r="CC768" s="323"/>
    </row>
    <row r="769" spans="23:81" x14ac:dyDescent="0.35">
      <c r="W769" s="305"/>
      <c r="X769" s="323"/>
      <c r="Y769" s="323"/>
      <c r="Z769" s="323"/>
      <c r="AA769" s="323"/>
      <c r="AB769" s="323"/>
      <c r="AC769" s="323"/>
      <c r="AD769" s="323"/>
      <c r="AE769" s="323"/>
      <c r="AF769" s="323"/>
      <c r="AG769" s="323"/>
      <c r="AH769" s="323"/>
      <c r="AI769" s="323"/>
      <c r="AJ769" s="323"/>
      <c r="AK769" s="323"/>
      <c r="AL769" s="323"/>
      <c r="AM769" s="323"/>
      <c r="AN769" s="457"/>
      <c r="AO769" s="457"/>
      <c r="AP769" s="457"/>
      <c r="AQ769" s="457"/>
      <c r="AR769" s="457"/>
      <c r="AS769" s="457"/>
      <c r="AT769" s="457"/>
      <c r="AU769" s="457"/>
      <c r="AV769" s="323"/>
      <c r="AW769" s="323"/>
      <c r="AX769" s="323"/>
      <c r="AY769" s="323"/>
      <c r="AZ769" s="323"/>
      <c r="BA769" s="323"/>
      <c r="BB769" s="323"/>
      <c r="BC769" s="323"/>
      <c r="BD769" s="323"/>
      <c r="BE769" s="323"/>
      <c r="BF769" s="323"/>
      <c r="BG769" s="323"/>
      <c r="BH769" s="323"/>
      <c r="BI769" s="323"/>
      <c r="BJ769" s="323"/>
      <c r="BK769" s="323"/>
      <c r="BL769" s="323"/>
      <c r="BM769" s="323"/>
      <c r="BN769" s="323"/>
      <c r="BO769" s="323"/>
      <c r="BP769" s="323"/>
      <c r="BQ769" s="323"/>
      <c r="BR769" s="323"/>
      <c r="BS769" s="323"/>
      <c r="BT769" s="323"/>
      <c r="BU769" s="323"/>
      <c r="BV769" s="323"/>
      <c r="BW769" s="323"/>
      <c r="BX769" s="323"/>
      <c r="BY769" s="323"/>
      <c r="BZ769" s="323"/>
      <c r="CA769" s="323"/>
      <c r="CB769" s="323"/>
      <c r="CC769" s="323"/>
    </row>
    <row r="770" spans="23:81" x14ac:dyDescent="0.35">
      <c r="W770" s="305"/>
      <c r="X770" s="323"/>
      <c r="Y770" s="323"/>
      <c r="Z770" s="323"/>
      <c r="AA770" s="323"/>
      <c r="AB770" s="323"/>
      <c r="AC770" s="323"/>
      <c r="AD770" s="323"/>
      <c r="AE770" s="323"/>
      <c r="AF770" s="323"/>
      <c r="AG770" s="323"/>
      <c r="AH770" s="323"/>
      <c r="AI770" s="323"/>
      <c r="AJ770" s="323"/>
      <c r="AK770" s="323"/>
      <c r="AL770" s="323"/>
      <c r="AM770" s="323"/>
      <c r="AN770" s="457"/>
      <c r="AO770" s="457"/>
      <c r="AP770" s="457"/>
      <c r="AQ770" s="457"/>
      <c r="AR770" s="457"/>
      <c r="AS770" s="457"/>
      <c r="AT770" s="457"/>
      <c r="AU770" s="457"/>
      <c r="AV770" s="323"/>
      <c r="AW770" s="323"/>
      <c r="AX770" s="323"/>
      <c r="AY770" s="323"/>
      <c r="AZ770" s="323"/>
      <c r="BA770" s="323"/>
      <c r="BB770" s="323"/>
      <c r="BC770" s="323"/>
      <c r="BD770" s="323"/>
      <c r="BE770" s="323"/>
      <c r="BF770" s="323"/>
      <c r="BG770" s="323"/>
      <c r="BH770" s="323"/>
      <c r="BI770" s="323"/>
      <c r="BJ770" s="323"/>
      <c r="BK770" s="323"/>
      <c r="BL770" s="323"/>
      <c r="BM770" s="323"/>
      <c r="BN770" s="323"/>
      <c r="BO770" s="323"/>
      <c r="BP770" s="323"/>
      <c r="BQ770" s="323"/>
      <c r="BR770" s="323"/>
      <c r="BS770" s="323"/>
      <c r="BT770" s="323"/>
      <c r="BU770" s="323"/>
      <c r="BV770" s="323"/>
      <c r="BW770" s="323"/>
      <c r="BX770" s="323"/>
      <c r="BY770" s="323"/>
      <c r="BZ770" s="323"/>
      <c r="CA770" s="323"/>
      <c r="CB770" s="323"/>
      <c r="CC770" s="323"/>
    </row>
    <row r="771" spans="23:81" x14ac:dyDescent="0.35">
      <c r="W771" s="305"/>
      <c r="X771" s="323"/>
      <c r="Y771" s="323"/>
      <c r="Z771" s="323"/>
      <c r="AA771" s="323"/>
      <c r="AB771" s="323"/>
      <c r="AC771" s="323"/>
      <c r="AD771" s="323"/>
      <c r="AE771" s="323"/>
      <c r="AF771" s="323"/>
      <c r="AG771" s="323"/>
      <c r="AH771" s="323"/>
      <c r="AI771" s="323"/>
      <c r="AJ771" s="323"/>
      <c r="AK771" s="323"/>
      <c r="AL771" s="323"/>
      <c r="AM771" s="323"/>
      <c r="AN771" s="457"/>
      <c r="AO771" s="457"/>
      <c r="AP771" s="457"/>
      <c r="AQ771" s="457"/>
      <c r="AR771" s="457"/>
      <c r="AS771" s="457"/>
      <c r="AT771" s="457"/>
      <c r="AU771" s="457"/>
      <c r="AV771" s="323"/>
      <c r="AW771" s="323"/>
      <c r="AX771" s="323"/>
      <c r="AY771" s="323"/>
      <c r="AZ771" s="323"/>
      <c r="BA771" s="323"/>
      <c r="BB771" s="323"/>
      <c r="BC771" s="323"/>
      <c r="BD771" s="323"/>
      <c r="BE771" s="323"/>
      <c r="BF771" s="323"/>
      <c r="BG771" s="323"/>
      <c r="BH771" s="323"/>
      <c r="BI771" s="323"/>
      <c r="BJ771" s="323"/>
      <c r="BK771" s="323"/>
      <c r="BL771" s="323"/>
      <c r="BM771" s="323"/>
      <c r="BN771" s="323"/>
      <c r="BO771" s="323"/>
      <c r="BP771" s="323"/>
      <c r="BQ771" s="323"/>
      <c r="BR771" s="323"/>
      <c r="BS771" s="323"/>
      <c r="BT771" s="323"/>
      <c r="BU771" s="323"/>
      <c r="BV771" s="323"/>
      <c r="BW771" s="323"/>
      <c r="BX771" s="323"/>
      <c r="BY771" s="323"/>
      <c r="BZ771" s="323"/>
      <c r="CA771" s="323"/>
      <c r="CB771" s="323"/>
      <c r="CC771" s="323"/>
    </row>
    <row r="772" spans="23:81" x14ac:dyDescent="0.35">
      <c r="W772" s="305"/>
      <c r="X772" s="323"/>
      <c r="Y772" s="323"/>
      <c r="Z772" s="323"/>
      <c r="AA772" s="323"/>
      <c r="AB772" s="323"/>
      <c r="AC772" s="323"/>
      <c r="AD772" s="323"/>
      <c r="AE772" s="323"/>
      <c r="AF772" s="323"/>
      <c r="AG772" s="323"/>
      <c r="AH772" s="323"/>
      <c r="AI772" s="323"/>
      <c r="AJ772" s="323"/>
      <c r="AK772" s="323"/>
      <c r="AL772" s="323"/>
      <c r="AM772" s="323"/>
      <c r="AN772" s="457"/>
      <c r="AO772" s="457"/>
      <c r="AP772" s="457"/>
      <c r="AQ772" s="457"/>
      <c r="AR772" s="457"/>
      <c r="AS772" s="457"/>
      <c r="AT772" s="457"/>
      <c r="AU772" s="457"/>
      <c r="AV772" s="323"/>
      <c r="AW772" s="323"/>
      <c r="AX772" s="323"/>
      <c r="AY772" s="323"/>
      <c r="AZ772" s="323"/>
      <c r="BA772" s="323"/>
      <c r="BB772" s="323"/>
      <c r="BC772" s="323"/>
      <c r="BD772" s="323"/>
      <c r="BE772" s="323"/>
      <c r="BF772" s="323"/>
      <c r="BG772" s="323"/>
      <c r="BH772" s="323"/>
      <c r="BI772" s="323"/>
      <c r="BJ772" s="323"/>
      <c r="BK772" s="323"/>
      <c r="BL772" s="323"/>
      <c r="BM772" s="323"/>
      <c r="BN772" s="323"/>
      <c r="BO772" s="323"/>
      <c r="BP772" s="323"/>
      <c r="BQ772" s="323"/>
      <c r="BR772" s="323"/>
      <c r="BS772" s="323"/>
      <c r="BT772" s="323"/>
      <c r="BU772" s="323"/>
      <c r="BV772" s="323"/>
      <c r="BW772" s="323"/>
      <c r="BX772" s="323"/>
      <c r="BY772" s="323"/>
      <c r="BZ772" s="323"/>
      <c r="CA772" s="323"/>
      <c r="CB772" s="323"/>
      <c r="CC772" s="323"/>
    </row>
    <row r="773" spans="23:81" x14ac:dyDescent="0.35">
      <c r="W773" s="305"/>
      <c r="X773" s="323"/>
      <c r="Y773" s="323"/>
      <c r="Z773" s="323"/>
      <c r="AA773" s="323"/>
      <c r="AB773" s="323"/>
      <c r="AC773" s="323"/>
      <c r="AD773" s="323"/>
      <c r="AE773" s="323"/>
      <c r="AF773" s="323"/>
      <c r="AG773" s="323"/>
      <c r="AH773" s="323"/>
      <c r="AI773" s="323"/>
      <c r="AJ773" s="323"/>
      <c r="AK773" s="323"/>
      <c r="AL773" s="323"/>
      <c r="AM773" s="323"/>
      <c r="AN773" s="457"/>
      <c r="AO773" s="457"/>
      <c r="AP773" s="457"/>
      <c r="AQ773" s="457"/>
      <c r="AR773" s="457"/>
      <c r="AS773" s="457"/>
      <c r="AT773" s="457"/>
      <c r="AU773" s="457"/>
      <c r="AV773" s="323"/>
      <c r="AW773" s="323"/>
      <c r="AX773" s="323"/>
      <c r="AY773" s="323"/>
      <c r="AZ773" s="323"/>
      <c r="BA773" s="323"/>
      <c r="BB773" s="323"/>
      <c r="BC773" s="323"/>
      <c r="BD773" s="323"/>
      <c r="BE773" s="323"/>
      <c r="BF773" s="323"/>
      <c r="BG773" s="323"/>
      <c r="BH773" s="323"/>
      <c r="BI773" s="323"/>
      <c r="BJ773" s="323"/>
      <c r="BK773" s="323"/>
      <c r="BL773" s="323"/>
      <c r="BM773" s="323"/>
      <c r="BN773" s="323"/>
      <c r="BO773" s="323"/>
      <c r="BP773" s="323"/>
      <c r="BQ773" s="323"/>
      <c r="BR773" s="323"/>
      <c r="BS773" s="323"/>
      <c r="BT773" s="323"/>
      <c r="BU773" s="323"/>
      <c r="BV773" s="323"/>
      <c r="BW773" s="323"/>
      <c r="BX773" s="323"/>
      <c r="BY773" s="323"/>
      <c r="BZ773" s="323"/>
      <c r="CA773" s="323"/>
      <c r="CB773" s="323"/>
      <c r="CC773" s="323"/>
    </row>
    <row r="774" spans="23:81" x14ac:dyDescent="0.35">
      <c r="W774" s="305"/>
      <c r="X774" s="323"/>
      <c r="Y774" s="323"/>
      <c r="Z774" s="323"/>
      <c r="AA774" s="323"/>
      <c r="AB774" s="323"/>
      <c r="AC774" s="323"/>
      <c r="AD774" s="323"/>
      <c r="AE774" s="323"/>
      <c r="AF774" s="323"/>
      <c r="AG774" s="323"/>
      <c r="AH774" s="323"/>
      <c r="AI774" s="323"/>
      <c r="AJ774" s="323"/>
      <c r="AK774" s="323"/>
      <c r="AL774" s="323"/>
      <c r="AM774" s="323"/>
      <c r="AN774" s="457"/>
      <c r="AO774" s="457"/>
      <c r="AP774" s="457"/>
      <c r="AQ774" s="457"/>
      <c r="AR774" s="457"/>
      <c r="AS774" s="457"/>
      <c r="AT774" s="457"/>
      <c r="AU774" s="457"/>
      <c r="AV774" s="323"/>
      <c r="AW774" s="323"/>
      <c r="AX774" s="323"/>
      <c r="AY774" s="323"/>
      <c r="AZ774" s="323"/>
      <c r="BA774" s="323"/>
      <c r="BB774" s="323"/>
      <c r="BC774" s="323"/>
      <c r="BD774" s="323"/>
      <c r="BE774" s="323"/>
      <c r="BF774" s="323"/>
      <c r="BG774" s="323"/>
      <c r="BH774" s="323"/>
      <c r="BI774" s="323"/>
      <c r="BJ774" s="323"/>
      <c r="BK774" s="323"/>
      <c r="BL774" s="323"/>
      <c r="BM774" s="323"/>
      <c r="BN774" s="323"/>
      <c r="BO774" s="323"/>
      <c r="BP774" s="323"/>
      <c r="BQ774" s="323"/>
      <c r="BR774" s="323"/>
      <c r="BS774" s="323"/>
      <c r="BT774" s="323"/>
      <c r="BU774" s="323"/>
      <c r="BV774" s="323"/>
      <c r="BW774" s="323"/>
      <c r="BX774" s="323"/>
      <c r="BY774" s="323"/>
      <c r="BZ774" s="323"/>
      <c r="CA774" s="323"/>
      <c r="CB774" s="323"/>
      <c r="CC774" s="323"/>
    </row>
    <row r="775" spans="23:81" x14ac:dyDescent="0.35">
      <c r="W775" s="305"/>
      <c r="X775" s="323"/>
      <c r="Y775" s="323"/>
      <c r="Z775" s="323"/>
      <c r="AA775" s="323"/>
      <c r="AB775" s="323"/>
      <c r="AC775" s="323"/>
      <c r="AD775" s="323"/>
      <c r="AE775" s="323"/>
      <c r="AF775" s="323"/>
      <c r="AG775" s="323"/>
      <c r="AH775" s="323"/>
      <c r="AI775" s="323"/>
      <c r="AJ775" s="323"/>
      <c r="AK775" s="323"/>
      <c r="AL775" s="323"/>
      <c r="AM775" s="323"/>
      <c r="AN775" s="457"/>
      <c r="AO775" s="457"/>
      <c r="AP775" s="457"/>
      <c r="AQ775" s="457"/>
      <c r="AR775" s="457"/>
      <c r="AS775" s="457"/>
      <c r="AT775" s="457"/>
      <c r="AU775" s="457"/>
      <c r="AV775" s="323"/>
      <c r="AW775" s="323"/>
      <c r="AX775" s="323"/>
      <c r="AY775" s="323"/>
      <c r="AZ775" s="323"/>
      <c r="BA775" s="323"/>
      <c r="BB775" s="323"/>
      <c r="BC775" s="323"/>
      <c r="BD775" s="323"/>
      <c r="BE775" s="323"/>
      <c r="BF775" s="323"/>
      <c r="BG775" s="323"/>
      <c r="BH775" s="323"/>
      <c r="BI775" s="323"/>
      <c r="BJ775" s="323"/>
      <c r="BK775" s="323"/>
      <c r="BL775" s="323"/>
      <c r="BM775" s="323"/>
      <c r="BN775" s="323"/>
      <c r="BO775" s="323"/>
      <c r="BP775" s="323"/>
      <c r="BQ775" s="323"/>
      <c r="BR775" s="323"/>
      <c r="BS775" s="323"/>
      <c r="BT775" s="323"/>
      <c r="BU775" s="323"/>
      <c r="BV775" s="323"/>
      <c r="BW775" s="323"/>
      <c r="BX775" s="323"/>
      <c r="BY775" s="323"/>
      <c r="BZ775" s="323"/>
      <c r="CA775" s="323"/>
      <c r="CB775" s="323"/>
      <c r="CC775" s="323"/>
    </row>
    <row r="776" spans="23:81" x14ac:dyDescent="0.35">
      <c r="W776" s="305"/>
      <c r="X776" s="323"/>
      <c r="Y776" s="323"/>
      <c r="Z776" s="323"/>
      <c r="AA776" s="323"/>
      <c r="AB776" s="323"/>
      <c r="AC776" s="323"/>
      <c r="AD776" s="323"/>
      <c r="AE776" s="323"/>
      <c r="AF776" s="323"/>
      <c r="AG776" s="323"/>
      <c r="AH776" s="323"/>
      <c r="AI776" s="323"/>
      <c r="AJ776" s="323"/>
      <c r="AK776" s="323"/>
      <c r="AL776" s="323"/>
      <c r="AM776" s="323"/>
      <c r="AN776" s="457"/>
      <c r="AO776" s="457"/>
      <c r="AP776" s="457"/>
      <c r="AQ776" s="457"/>
      <c r="AR776" s="457"/>
      <c r="AS776" s="457"/>
      <c r="AT776" s="457"/>
      <c r="AU776" s="457"/>
      <c r="AV776" s="323"/>
      <c r="AW776" s="323"/>
      <c r="AX776" s="323"/>
      <c r="AY776" s="323"/>
      <c r="AZ776" s="323"/>
      <c r="BA776" s="323"/>
      <c r="BB776" s="323"/>
      <c r="BC776" s="323"/>
      <c r="BD776" s="323"/>
      <c r="BE776" s="323"/>
      <c r="BF776" s="323"/>
      <c r="BG776" s="323"/>
      <c r="BH776" s="323"/>
      <c r="BI776" s="323"/>
      <c r="BJ776" s="323"/>
      <c r="BK776" s="323"/>
      <c r="BL776" s="323"/>
      <c r="BM776" s="323"/>
      <c r="BN776" s="323"/>
      <c r="BO776" s="323"/>
      <c r="BP776" s="323"/>
      <c r="BQ776" s="323"/>
      <c r="BR776" s="323"/>
      <c r="BS776" s="323"/>
      <c r="BT776" s="323"/>
      <c r="BU776" s="323"/>
      <c r="BV776" s="323"/>
      <c r="BW776" s="323"/>
      <c r="BX776" s="323"/>
      <c r="BY776" s="323"/>
      <c r="BZ776" s="323"/>
      <c r="CA776" s="323"/>
      <c r="CB776" s="323"/>
      <c r="CC776" s="323"/>
    </row>
    <row r="777" spans="23:81" x14ac:dyDescent="0.35">
      <c r="W777" s="305"/>
      <c r="X777" s="323"/>
      <c r="Y777" s="323"/>
      <c r="Z777" s="323"/>
      <c r="AA777" s="323"/>
      <c r="AB777" s="323"/>
      <c r="AC777" s="323"/>
      <c r="AD777" s="323"/>
      <c r="AE777" s="323"/>
      <c r="AF777" s="323"/>
      <c r="AG777" s="323"/>
      <c r="AH777" s="323"/>
      <c r="AI777" s="323"/>
      <c r="AJ777" s="323"/>
      <c r="AK777" s="323"/>
      <c r="AL777" s="323"/>
      <c r="AM777" s="323"/>
      <c r="AN777" s="457"/>
      <c r="AO777" s="457"/>
      <c r="AP777" s="457"/>
      <c r="AQ777" s="457"/>
      <c r="AR777" s="457"/>
      <c r="AS777" s="457"/>
      <c r="AT777" s="457"/>
      <c r="AU777" s="457"/>
      <c r="AV777" s="323"/>
      <c r="AW777" s="323"/>
      <c r="AX777" s="323"/>
      <c r="AY777" s="323"/>
      <c r="AZ777" s="323"/>
      <c r="BA777" s="323"/>
      <c r="BB777" s="323"/>
      <c r="BC777" s="323"/>
      <c r="BD777" s="323"/>
      <c r="BE777" s="323"/>
      <c r="BF777" s="323"/>
      <c r="BG777" s="323"/>
      <c r="BH777" s="323"/>
      <c r="BI777" s="323"/>
      <c r="BJ777" s="323"/>
      <c r="BK777" s="323"/>
      <c r="BL777" s="323"/>
      <c r="BM777" s="323"/>
      <c r="BN777" s="323"/>
      <c r="BO777" s="323"/>
      <c r="BP777" s="323"/>
      <c r="BQ777" s="323"/>
      <c r="BR777" s="323"/>
      <c r="BS777" s="323"/>
      <c r="BT777" s="323"/>
      <c r="BU777" s="323"/>
      <c r="BV777" s="323"/>
      <c r="BW777" s="323"/>
      <c r="BX777" s="323"/>
      <c r="BY777" s="323"/>
      <c r="BZ777" s="323"/>
      <c r="CA777" s="323"/>
      <c r="CB777" s="323"/>
      <c r="CC777" s="323"/>
    </row>
    <row r="778" spans="23:81" x14ac:dyDescent="0.35">
      <c r="W778" s="305"/>
      <c r="X778" s="323"/>
      <c r="Y778" s="323"/>
      <c r="Z778" s="323"/>
      <c r="AA778" s="323"/>
      <c r="AB778" s="323"/>
      <c r="AC778" s="323"/>
      <c r="AD778" s="323"/>
      <c r="AE778" s="323"/>
      <c r="AF778" s="323"/>
      <c r="AG778" s="323"/>
      <c r="AH778" s="323"/>
      <c r="AI778" s="323"/>
      <c r="AJ778" s="323"/>
      <c r="AK778" s="323"/>
      <c r="AL778" s="323"/>
      <c r="AM778" s="323"/>
      <c r="AN778" s="457"/>
      <c r="AO778" s="457"/>
      <c r="AP778" s="457"/>
      <c r="AQ778" s="457"/>
      <c r="AR778" s="457"/>
      <c r="AS778" s="457"/>
      <c r="AT778" s="457"/>
      <c r="AU778" s="457"/>
      <c r="AV778" s="323"/>
      <c r="AW778" s="323"/>
      <c r="AX778" s="323"/>
      <c r="AY778" s="323"/>
      <c r="AZ778" s="323"/>
      <c r="BA778" s="323"/>
      <c r="BB778" s="323"/>
      <c r="BC778" s="323"/>
      <c r="BD778" s="323"/>
      <c r="BE778" s="323"/>
      <c r="BF778" s="323"/>
      <c r="BG778" s="323"/>
      <c r="BH778" s="323"/>
      <c r="BI778" s="323"/>
      <c r="BJ778" s="323"/>
      <c r="BK778" s="323"/>
      <c r="BL778" s="323"/>
      <c r="BM778" s="323"/>
      <c r="BN778" s="323"/>
      <c r="BO778" s="323"/>
      <c r="BP778" s="323"/>
      <c r="BQ778" s="323"/>
      <c r="BR778" s="323"/>
      <c r="BS778" s="323"/>
      <c r="BT778" s="323"/>
      <c r="BU778" s="323"/>
      <c r="BV778" s="323"/>
      <c r="BW778" s="323"/>
      <c r="BX778" s="323"/>
      <c r="BY778" s="323"/>
      <c r="BZ778" s="323"/>
      <c r="CA778" s="323"/>
      <c r="CB778" s="323"/>
      <c r="CC778" s="323"/>
    </row>
    <row r="779" spans="23:81" x14ac:dyDescent="0.35">
      <c r="W779" s="305"/>
      <c r="X779" s="323"/>
      <c r="Y779" s="323"/>
      <c r="Z779" s="323"/>
      <c r="AA779" s="323"/>
      <c r="AB779" s="323"/>
      <c r="AC779" s="323"/>
      <c r="AD779" s="323"/>
      <c r="AE779" s="323"/>
      <c r="AF779" s="323"/>
      <c r="AG779" s="323"/>
      <c r="AH779" s="323"/>
      <c r="AI779" s="323"/>
      <c r="AJ779" s="323"/>
      <c r="AK779" s="323"/>
      <c r="AL779" s="323"/>
      <c r="AM779" s="323"/>
      <c r="AN779" s="457"/>
      <c r="AO779" s="457"/>
      <c r="AP779" s="457"/>
      <c r="AQ779" s="457"/>
      <c r="AR779" s="457"/>
      <c r="AS779" s="457"/>
      <c r="AT779" s="457"/>
      <c r="AU779" s="457"/>
      <c r="AV779" s="323"/>
      <c r="AW779" s="323"/>
      <c r="AX779" s="323"/>
      <c r="AY779" s="323"/>
      <c r="AZ779" s="323"/>
      <c r="BA779" s="323"/>
      <c r="BB779" s="323"/>
      <c r="BC779" s="323"/>
      <c r="BD779" s="323"/>
      <c r="BE779" s="323"/>
      <c r="BF779" s="323"/>
      <c r="BG779" s="323"/>
      <c r="BH779" s="323"/>
      <c r="BI779" s="323"/>
      <c r="BJ779" s="323"/>
      <c r="BK779" s="323"/>
      <c r="BL779" s="323"/>
      <c r="BM779" s="323"/>
      <c r="BN779" s="323"/>
      <c r="BO779" s="323"/>
      <c r="BP779" s="323"/>
      <c r="BQ779" s="323"/>
      <c r="BR779" s="323"/>
      <c r="BS779" s="323"/>
      <c r="BT779" s="323"/>
      <c r="BU779" s="323"/>
      <c r="BV779" s="323"/>
      <c r="BW779" s="323"/>
      <c r="BX779" s="323"/>
      <c r="BY779" s="323"/>
      <c r="BZ779" s="323"/>
      <c r="CA779" s="323"/>
      <c r="CB779" s="323"/>
      <c r="CC779" s="323"/>
    </row>
    <row r="780" spans="23:81" x14ac:dyDescent="0.35">
      <c r="W780" s="305"/>
      <c r="X780" s="323"/>
      <c r="Y780" s="323"/>
      <c r="Z780" s="323"/>
      <c r="AA780" s="323"/>
      <c r="AB780" s="323"/>
      <c r="AC780" s="323"/>
      <c r="AD780" s="323"/>
      <c r="AE780" s="323"/>
      <c r="AF780" s="323"/>
      <c r="AG780" s="323"/>
      <c r="AH780" s="323"/>
      <c r="AI780" s="323"/>
      <c r="AJ780" s="323"/>
      <c r="AK780" s="323"/>
      <c r="AL780" s="323"/>
      <c r="AM780" s="323"/>
      <c r="AN780" s="457"/>
      <c r="AO780" s="457"/>
      <c r="AP780" s="457"/>
      <c r="AQ780" s="457"/>
      <c r="AR780" s="457"/>
      <c r="AS780" s="457"/>
      <c r="AT780" s="457"/>
      <c r="AU780" s="457"/>
      <c r="AV780" s="323"/>
      <c r="AW780" s="323"/>
      <c r="AX780" s="323"/>
      <c r="AY780" s="323"/>
      <c r="AZ780" s="323"/>
      <c r="BA780" s="323"/>
      <c r="BB780" s="323"/>
      <c r="BC780" s="323"/>
      <c r="BD780" s="323"/>
      <c r="BE780" s="323"/>
      <c r="BF780" s="323"/>
      <c r="BG780" s="323"/>
      <c r="BH780" s="323"/>
      <c r="BI780" s="323"/>
      <c r="BJ780" s="323"/>
      <c r="BK780" s="323"/>
      <c r="BL780" s="323"/>
      <c r="BM780" s="323"/>
      <c r="BN780" s="323"/>
      <c r="BO780" s="323"/>
      <c r="BP780" s="323"/>
      <c r="BQ780" s="323"/>
      <c r="BR780" s="323"/>
      <c r="BS780" s="323"/>
      <c r="BT780" s="323"/>
      <c r="BU780" s="323"/>
      <c r="BV780" s="323"/>
      <c r="BW780" s="323"/>
      <c r="BX780" s="323"/>
      <c r="BY780" s="323"/>
      <c r="BZ780" s="323"/>
      <c r="CA780" s="323"/>
      <c r="CB780" s="323"/>
      <c r="CC780" s="323"/>
    </row>
    <row r="781" spans="23:81" x14ac:dyDescent="0.35">
      <c r="W781" s="305"/>
      <c r="X781" s="323"/>
      <c r="Y781" s="323"/>
      <c r="Z781" s="323"/>
      <c r="AA781" s="323"/>
      <c r="AB781" s="323"/>
      <c r="AC781" s="323"/>
      <c r="AD781" s="323"/>
      <c r="AE781" s="323"/>
      <c r="AF781" s="323"/>
      <c r="AG781" s="323"/>
      <c r="AH781" s="323"/>
      <c r="AI781" s="323"/>
      <c r="AJ781" s="323"/>
      <c r="AK781" s="323"/>
      <c r="AL781" s="323"/>
      <c r="AM781" s="323"/>
      <c r="AN781" s="457"/>
      <c r="AO781" s="457"/>
      <c r="AP781" s="457"/>
      <c r="AQ781" s="457"/>
      <c r="AR781" s="457"/>
      <c r="AS781" s="457"/>
      <c r="AT781" s="457"/>
      <c r="AU781" s="457"/>
      <c r="AV781" s="323"/>
      <c r="AW781" s="323"/>
      <c r="AX781" s="323"/>
      <c r="AY781" s="323"/>
      <c r="AZ781" s="323"/>
      <c r="BA781" s="323"/>
      <c r="BB781" s="323"/>
      <c r="BC781" s="323"/>
      <c r="BD781" s="323"/>
      <c r="BE781" s="323"/>
      <c r="BF781" s="323"/>
      <c r="BG781" s="323"/>
      <c r="BH781" s="323"/>
      <c r="BI781" s="323"/>
      <c r="BJ781" s="323"/>
      <c r="BK781" s="323"/>
      <c r="BL781" s="323"/>
      <c r="BM781" s="323"/>
      <c r="BN781" s="323"/>
      <c r="BO781" s="323"/>
      <c r="BP781" s="323"/>
      <c r="BQ781" s="323"/>
      <c r="BR781" s="323"/>
      <c r="BS781" s="323"/>
      <c r="BT781" s="323"/>
      <c r="BU781" s="323"/>
      <c r="BV781" s="323"/>
      <c r="BW781" s="323"/>
      <c r="BX781" s="323"/>
      <c r="BY781" s="323"/>
      <c r="BZ781" s="323"/>
      <c r="CA781" s="323"/>
      <c r="CB781" s="323"/>
      <c r="CC781" s="323"/>
    </row>
    <row r="782" spans="23:81" x14ac:dyDescent="0.35">
      <c r="W782" s="305"/>
      <c r="X782" s="323"/>
      <c r="Y782" s="323"/>
      <c r="Z782" s="323"/>
      <c r="AA782" s="323"/>
      <c r="AB782" s="323"/>
      <c r="AC782" s="323"/>
      <c r="AD782" s="323"/>
      <c r="AE782" s="323"/>
      <c r="AF782" s="323"/>
      <c r="AG782" s="323"/>
      <c r="AH782" s="323"/>
      <c r="AI782" s="323"/>
      <c r="AJ782" s="323"/>
      <c r="AK782" s="323"/>
      <c r="AL782" s="323"/>
      <c r="AM782" s="323"/>
      <c r="AN782" s="457"/>
      <c r="AO782" s="457"/>
      <c r="AP782" s="457"/>
      <c r="AQ782" s="457"/>
      <c r="AR782" s="457"/>
      <c r="AS782" s="457"/>
      <c r="AT782" s="457"/>
      <c r="AU782" s="457"/>
      <c r="AV782" s="323"/>
      <c r="AW782" s="323"/>
      <c r="AX782" s="323"/>
      <c r="AY782" s="323"/>
      <c r="AZ782" s="323"/>
      <c r="BA782" s="323"/>
      <c r="BB782" s="323"/>
      <c r="BC782" s="323"/>
      <c r="BD782" s="323"/>
      <c r="BE782" s="323"/>
      <c r="BF782" s="323"/>
      <c r="BG782" s="323"/>
      <c r="BH782" s="323"/>
      <c r="BI782" s="323"/>
      <c r="BJ782" s="323"/>
      <c r="BK782" s="323"/>
      <c r="BL782" s="323"/>
      <c r="BM782" s="323"/>
      <c r="BN782" s="323"/>
      <c r="BO782" s="323"/>
      <c r="BP782" s="323"/>
      <c r="BQ782" s="323"/>
      <c r="BR782" s="323"/>
      <c r="BS782" s="323"/>
      <c r="BT782" s="323"/>
      <c r="BU782" s="323"/>
      <c r="BV782" s="323"/>
      <c r="BW782" s="323"/>
      <c r="BX782" s="323"/>
      <c r="BY782" s="323"/>
      <c r="BZ782" s="323"/>
      <c r="CA782" s="323"/>
      <c r="CB782" s="323"/>
      <c r="CC782" s="323"/>
    </row>
    <row r="783" spans="23:81" x14ac:dyDescent="0.35">
      <c r="W783" s="305"/>
      <c r="X783" s="323"/>
      <c r="Y783" s="323"/>
      <c r="Z783" s="323"/>
      <c r="AA783" s="323"/>
      <c r="AB783" s="323"/>
      <c r="AC783" s="323"/>
      <c r="AD783" s="323"/>
      <c r="AE783" s="323"/>
      <c r="AF783" s="323"/>
      <c r="AG783" s="323"/>
      <c r="AH783" s="323"/>
      <c r="AI783" s="323"/>
      <c r="AJ783" s="323"/>
      <c r="AK783" s="323"/>
      <c r="AL783" s="323"/>
      <c r="AM783" s="323"/>
      <c r="AN783" s="457"/>
      <c r="AO783" s="457"/>
      <c r="AP783" s="457"/>
      <c r="AQ783" s="457"/>
      <c r="AR783" s="457"/>
      <c r="AS783" s="457"/>
      <c r="AT783" s="457"/>
      <c r="AU783" s="457"/>
      <c r="AV783" s="323"/>
      <c r="AW783" s="323"/>
      <c r="AX783" s="323"/>
      <c r="AY783" s="323"/>
      <c r="AZ783" s="323"/>
      <c r="BA783" s="323"/>
      <c r="BB783" s="323"/>
      <c r="BC783" s="323"/>
      <c r="BD783" s="323"/>
      <c r="BE783" s="323"/>
      <c r="BF783" s="323"/>
      <c r="BG783" s="323"/>
      <c r="BH783" s="323"/>
      <c r="BI783" s="323"/>
      <c r="BJ783" s="323"/>
      <c r="BK783" s="323"/>
      <c r="BL783" s="323"/>
      <c r="BM783" s="323"/>
      <c r="BN783" s="323"/>
      <c r="BO783" s="323"/>
      <c r="BP783" s="323"/>
      <c r="BQ783" s="323"/>
      <c r="BR783" s="323"/>
      <c r="BS783" s="323"/>
      <c r="BT783" s="323"/>
      <c r="BU783" s="323"/>
      <c r="BV783" s="323"/>
      <c r="BW783" s="323"/>
      <c r="BX783" s="323"/>
      <c r="BY783" s="323"/>
      <c r="BZ783" s="323"/>
      <c r="CA783" s="323"/>
      <c r="CB783" s="323"/>
      <c r="CC783" s="323"/>
    </row>
    <row r="784" spans="23:81" x14ac:dyDescent="0.35">
      <c r="W784" s="305"/>
      <c r="X784" s="323"/>
      <c r="Y784" s="323"/>
      <c r="Z784" s="323"/>
      <c r="AA784" s="323"/>
      <c r="AB784" s="323"/>
      <c r="AC784" s="323"/>
      <c r="AD784" s="323"/>
      <c r="AE784" s="323"/>
      <c r="AF784" s="323"/>
      <c r="AG784" s="323"/>
      <c r="AH784" s="323"/>
      <c r="AI784" s="323"/>
      <c r="AJ784" s="323"/>
      <c r="AK784" s="323"/>
      <c r="AL784" s="323"/>
      <c r="AM784" s="323"/>
      <c r="AN784" s="457"/>
      <c r="AO784" s="457"/>
      <c r="AP784" s="457"/>
      <c r="AQ784" s="457"/>
      <c r="AR784" s="457"/>
      <c r="AS784" s="457"/>
      <c r="AT784" s="457"/>
      <c r="AU784" s="457"/>
      <c r="AV784" s="323"/>
      <c r="AW784" s="323"/>
      <c r="AX784" s="323"/>
      <c r="AY784" s="323"/>
      <c r="AZ784" s="323"/>
      <c r="BA784" s="323"/>
      <c r="BB784" s="323"/>
      <c r="BC784" s="323"/>
      <c r="BD784" s="323"/>
      <c r="BE784" s="323"/>
      <c r="BF784" s="323"/>
      <c r="BG784" s="323"/>
      <c r="BH784" s="323"/>
      <c r="BI784" s="323"/>
      <c r="BJ784" s="323"/>
      <c r="BK784" s="323"/>
      <c r="BL784" s="323"/>
      <c r="BM784" s="323"/>
      <c r="BN784" s="323"/>
      <c r="BO784" s="323"/>
      <c r="BP784" s="323"/>
      <c r="BQ784" s="323"/>
      <c r="BR784" s="323"/>
      <c r="BS784" s="323"/>
      <c r="BT784" s="323"/>
      <c r="BU784" s="323"/>
      <c r="BV784" s="323"/>
      <c r="BW784" s="323"/>
      <c r="BX784" s="323"/>
      <c r="BY784" s="323"/>
      <c r="BZ784" s="323"/>
      <c r="CA784" s="323"/>
      <c r="CB784" s="323"/>
      <c r="CC784" s="323"/>
    </row>
    <row r="785" spans="35:35" x14ac:dyDescent="0.35">
      <c r="AI785" s="324"/>
    </row>
    <row r="786" spans="35:35" x14ac:dyDescent="0.35">
      <c r="AI786" s="324"/>
    </row>
    <row r="787" spans="35:35" x14ac:dyDescent="0.35">
      <c r="AI787" s="324"/>
    </row>
    <row r="788" spans="35:35" x14ac:dyDescent="0.35">
      <c r="AI788" s="324"/>
    </row>
    <row r="789" spans="35:35" x14ac:dyDescent="0.35">
      <c r="AI789" s="324"/>
    </row>
    <row r="790" spans="35:35" x14ac:dyDescent="0.35">
      <c r="AI790" s="324"/>
    </row>
    <row r="791" spans="35:35" x14ac:dyDescent="0.35">
      <c r="AI791" s="324"/>
    </row>
    <row r="792" spans="35:35" x14ac:dyDescent="0.35">
      <c r="AI792" s="324"/>
    </row>
    <row r="793" spans="35:35" x14ac:dyDescent="0.35">
      <c r="AI793" s="324"/>
    </row>
    <row r="794" spans="35:35" x14ac:dyDescent="0.35">
      <c r="AI794" s="324"/>
    </row>
    <row r="795" spans="35:35" x14ac:dyDescent="0.35">
      <c r="AI795" s="324"/>
    </row>
    <row r="796" spans="35:35" x14ac:dyDescent="0.35">
      <c r="AI796" s="324"/>
    </row>
    <row r="797" spans="35:35" x14ac:dyDescent="0.35">
      <c r="AI797" s="324"/>
    </row>
    <row r="798" spans="35:35" x14ac:dyDescent="0.35">
      <c r="AI798" s="324"/>
    </row>
    <row r="799" spans="35:35" x14ac:dyDescent="0.35">
      <c r="AI799" s="324"/>
    </row>
    <row r="800" spans="35:35" x14ac:dyDescent="0.35">
      <c r="AI800" s="324"/>
    </row>
    <row r="801" spans="35:35" x14ac:dyDescent="0.35">
      <c r="AI801" s="324"/>
    </row>
    <row r="802" spans="35:35" x14ac:dyDescent="0.35">
      <c r="AI802" s="324"/>
    </row>
    <row r="803" spans="35:35" x14ac:dyDescent="0.35">
      <c r="AI803" s="324"/>
    </row>
    <row r="804" spans="35:35" x14ac:dyDescent="0.35">
      <c r="AI804" s="324"/>
    </row>
    <row r="805" spans="35:35" x14ac:dyDescent="0.35">
      <c r="AI805" s="324"/>
    </row>
    <row r="806" spans="35:35" x14ac:dyDescent="0.35">
      <c r="AI806" s="324"/>
    </row>
    <row r="807" spans="35:35" x14ac:dyDescent="0.35">
      <c r="AI807" s="324"/>
    </row>
    <row r="808" spans="35:35" x14ac:dyDescent="0.35">
      <c r="AI808" s="324"/>
    </row>
    <row r="809" spans="35:35" x14ac:dyDescent="0.35">
      <c r="AI809" s="324"/>
    </row>
    <row r="810" spans="35:35" x14ac:dyDescent="0.35">
      <c r="AI810" s="324"/>
    </row>
    <row r="811" spans="35:35" x14ac:dyDescent="0.35">
      <c r="AI811" s="324"/>
    </row>
    <row r="812" spans="35:35" x14ac:dyDescent="0.35">
      <c r="AI812" s="324"/>
    </row>
    <row r="813" spans="35:35" x14ac:dyDescent="0.35">
      <c r="AI813" s="324"/>
    </row>
    <row r="814" spans="35:35" x14ac:dyDescent="0.35">
      <c r="AI814" s="324"/>
    </row>
    <row r="815" spans="35:35" x14ac:dyDescent="0.35">
      <c r="AI815" s="324"/>
    </row>
    <row r="816" spans="35:35" x14ac:dyDescent="0.35">
      <c r="AI816" s="324"/>
    </row>
    <row r="817" spans="35:35" x14ac:dyDescent="0.35">
      <c r="AI817" s="324"/>
    </row>
    <row r="818" spans="35:35" x14ac:dyDescent="0.35">
      <c r="AI818" s="324"/>
    </row>
    <row r="819" spans="35:35" x14ac:dyDescent="0.35">
      <c r="AI819" s="324"/>
    </row>
    <row r="820" spans="35:35" x14ac:dyDescent="0.35">
      <c r="AI820" s="324"/>
    </row>
    <row r="821" spans="35:35" x14ac:dyDescent="0.35">
      <c r="AI821" s="324"/>
    </row>
    <row r="822" spans="35:35" x14ac:dyDescent="0.35">
      <c r="AI822" s="324"/>
    </row>
    <row r="823" spans="35:35" x14ac:dyDescent="0.35">
      <c r="AI823" s="324"/>
    </row>
    <row r="824" spans="35:35" x14ac:dyDescent="0.35">
      <c r="AI824" s="324"/>
    </row>
    <row r="825" spans="35:35" x14ac:dyDescent="0.35">
      <c r="AI825" s="324"/>
    </row>
    <row r="826" spans="35:35" x14ac:dyDescent="0.35">
      <c r="AI826" s="324"/>
    </row>
    <row r="827" spans="35:35" x14ac:dyDescent="0.35">
      <c r="AI827" s="324"/>
    </row>
    <row r="828" spans="35:35" x14ac:dyDescent="0.35">
      <c r="AI828" s="324"/>
    </row>
    <row r="829" spans="35:35" x14ac:dyDescent="0.35">
      <c r="AI829" s="324"/>
    </row>
    <row r="830" spans="35:35" x14ac:dyDescent="0.35">
      <c r="AI830" s="324"/>
    </row>
    <row r="831" spans="35:35" x14ac:dyDescent="0.35">
      <c r="AI831" s="324"/>
    </row>
    <row r="832" spans="35:35" x14ac:dyDescent="0.35">
      <c r="AI832" s="324"/>
    </row>
    <row r="833" spans="35:35" x14ac:dyDescent="0.35">
      <c r="AI833" s="324"/>
    </row>
    <row r="834" spans="35:35" x14ac:dyDescent="0.35">
      <c r="AI834" s="324"/>
    </row>
    <row r="835" spans="35:35" x14ac:dyDescent="0.35">
      <c r="AI835" s="324"/>
    </row>
    <row r="836" spans="35:35" x14ac:dyDescent="0.35">
      <c r="AI836" s="324"/>
    </row>
    <row r="837" spans="35:35" x14ac:dyDescent="0.35">
      <c r="AI837" s="324"/>
    </row>
    <row r="838" spans="35:35" x14ac:dyDescent="0.35">
      <c r="AI838" s="324"/>
    </row>
    <row r="839" spans="35:35" x14ac:dyDescent="0.35">
      <c r="AI839" s="324"/>
    </row>
    <row r="840" spans="35:35" x14ac:dyDescent="0.35">
      <c r="AI840" s="324"/>
    </row>
    <row r="841" spans="35:35" x14ac:dyDescent="0.35">
      <c r="AI841" s="324"/>
    </row>
    <row r="842" spans="35:35" x14ac:dyDescent="0.35">
      <c r="AI842" s="324"/>
    </row>
    <row r="843" spans="35:35" x14ac:dyDescent="0.35">
      <c r="AI843" s="324"/>
    </row>
    <row r="844" spans="35:35" x14ac:dyDescent="0.35">
      <c r="AI844" s="324"/>
    </row>
    <row r="845" spans="35:35" x14ac:dyDescent="0.35">
      <c r="AI845" s="324"/>
    </row>
    <row r="846" spans="35:35" x14ac:dyDescent="0.35">
      <c r="AI846" s="324"/>
    </row>
    <row r="847" spans="35:35" x14ac:dyDescent="0.35">
      <c r="AI847" s="324"/>
    </row>
    <row r="848" spans="35:35" x14ac:dyDescent="0.35">
      <c r="AI848" s="324"/>
    </row>
    <row r="849" spans="35:35" x14ac:dyDescent="0.35">
      <c r="AI849" s="324"/>
    </row>
    <row r="850" spans="35:35" x14ac:dyDescent="0.35">
      <c r="AI850" s="324"/>
    </row>
    <row r="851" spans="35:35" x14ac:dyDescent="0.35">
      <c r="AI851" s="324"/>
    </row>
    <row r="852" spans="35:35" x14ac:dyDescent="0.35">
      <c r="AI852" s="324"/>
    </row>
    <row r="853" spans="35:35" x14ac:dyDescent="0.35">
      <c r="AI853" s="324"/>
    </row>
    <row r="854" spans="35:35" x14ac:dyDescent="0.35">
      <c r="AI854" s="324"/>
    </row>
    <row r="855" spans="35:35" x14ac:dyDescent="0.35">
      <c r="AI855" s="324"/>
    </row>
    <row r="856" spans="35:35" x14ac:dyDescent="0.35">
      <c r="AI856" s="324"/>
    </row>
    <row r="857" spans="35:35" x14ac:dyDescent="0.35">
      <c r="AI857" s="324"/>
    </row>
    <row r="858" spans="35:35" x14ac:dyDescent="0.35">
      <c r="AI858" s="324"/>
    </row>
    <row r="859" spans="35:35" x14ac:dyDescent="0.35">
      <c r="AI859" s="324"/>
    </row>
    <row r="860" spans="35:35" x14ac:dyDescent="0.35">
      <c r="AI860" s="324"/>
    </row>
    <row r="861" spans="35:35" x14ac:dyDescent="0.35">
      <c r="AI861" s="324"/>
    </row>
    <row r="862" spans="35:35" x14ac:dyDescent="0.35">
      <c r="AI862" s="324"/>
    </row>
    <row r="863" spans="35:35" x14ac:dyDescent="0.35">
      <c r="AI863" s="324"/>
    </row>
    <row r="864" spans="35:35" x14ac:dyDescent="0.35">
      <c r="AI864" s="324"/>
    </row>
    <row r="865" spans="35:35" x14ac:dyDescent="0.35">
      <c r="AI865" s="324"/>
    </row>
    <row r="866" spans="35:35" x14ac:dyDescent="0.35">
      <c r="AI866" s="324"/>
    </row>
    <row r="867" spans="35:35" x14ac:dyDescent="0.35">
      <c r="AI867" s="324"/>
    </row>
    <row r="868" spans="35:35" x14ac:dyDescent="0.35">
      <c r="AI868" s="324"/>
    </row>
    <row r="869" spans="35:35" x14ac:dyDescent="0.35">
      <c r="AI869" s="324"/>
    </row>
    <row r="870" spans="35:35" x14ac:dyDescent="0.35">
      <c r="AI870" s="324"/>
    </row>
    <row r="871" spans="35:35" x14ac:dyDescent="0.35">
      <c r="AI871" s="324"/>
    </row>
    <row r="872" spans="35:35" x14ac:dyDescent="0.35">
      <c r="AI872" s="324"/>
    </row>
    <row r="873" spans="35:35" x14ac:dyDescent="0.35">
      <c r="AI873" s="324"/>
    </row>
    <row r="874" spans="35:35" x14ac:dyDescent="0.35">
      <c r="AI874" s="324"/>
    </row>
    <row r="875" spans="35:35" x14ac:dyDescent="0.35">
      <c r="AI875" s="324"/>
    </row>
    <row r="876" spans="35:35" x14ac:dyDescent="0.35">
      <c r="AI876" s="324"/>
    </row>
    <row r="877" spans="35:35" x14ac:dyDescent="0.35">
      <c r="AI877" s="324"/>
    </row>
    <row r="878" spans="35:35" x14ac:dyDescent="0.35">
      <c r="AI878" s="324"/>
    </row>
    <row r="879" spans="35:35" x14ac:dyDescent="0.35">
      <c r="AI879" s="324"/>
    </row>
    <row r="880" spans="35:35" x14ac:dyDescent="0.35">
      <c r="AI880" s="324"/>
    </row>
    <row r="881" spans="35:41" x14ac:dyDescent="0.35">
      <c r="AI881" s="324"/>
    </row>
    <row r="882" spans="35:41" x14ac:dyDescent="0.35">
      <c r="AI882" s="324"/>
    </row>
    <row r="883" spans="35:41" x14ac:dyDescent="0.35">
      <c r="AI883" s="324"/>
    </row>
    <row r="884" spans="35:41" x14ac:dyDescent="0.35">
      <c r="AI884" s="324"/>
    </row>
    <row r="885" spans="35:41" x14ac:dyDescent="0.35">
      <c r="AI885" s="324"/>
    </row>
    <row r="886" spans="35:41" x14ac:dyDescent="0.35">
      <c r="AI886" s="324" t="str">
        <f>IFERROR(VLOOKUP(D886&amp;"_"&amp;J886,'LCA data'!$B$7:$X$200,19,FALSE)*(K886*10^3)*E886,"")</f>
        <v/>
      </c>
      <c r="AK886" s="252" t="str">
        <f>IFERROR(IF(M886&gt;0,VLOOKUP(D886&amp;"_"&amp;J886,'LCA data'!$B$7:$X$200,19,FALSE)*(K886*10^3)*E886,""),"")</f>
        <v/>
      </c>
      <c r="AM886" s="252" t="str">
        <f>IFERROR(IF(M886-1&gt;0,VLOOKUP(D886&amp;"_"&amp;J886,'LCA data'!$B$7:$X$200,19,FALSE)*(K886*10^3)*E886,""),"")</f>
        <v/>
      </c>
      <c r="AO886" s="324" t="str">
        <f>IFERROR(IF(M886-2&gt;0,VLOOKUP(D886&amp;"_"&amp;J886,'LCA data'!$B$7:$X$200,19,FALSE)*(K886*10^3)*E886,""),"")</f>
        <v/>
      </c>
    </row>
    <row r="887" spans="35:41" x14ac:dyDescent="0.35">
      <c r="AI887" s="324" t="str">
        <f>IFERROR(VLOOKUP(D887&amp;"_"&amp;J887,'LCA data'!$B$7:$X$200,19,FALSE)*(K887*10^3)*E887,"")</f>
        <v/>
      </c>
      <c r="AK887" s="252" t="str">
        <f>IFERROR(IF(M887&gt;0,VLOOKUP(D887&amp;"_"&amp;J887,'LCA data'!$B$7:$X$200,19,FALSE)*(K887*10^3)*E887,""),"")</f>
        <v/>
      </c>
      <c r="AM887" s="252" t="str">
        <f>IFERROR(IF(M887-1&gt;0,VLOOKUP(D887&amp;"_"&amp;J887,'LCA data'!$B$7:$X$200,19,FALSE)*(K887*10^3)*E887,""),"")</f>
        <v/>
      </c>
      <c r="AO887" s="324" t="str">
        <f>IFERROR(IF(M887-2&gt;0,VLOOKUP(D887&amp;"_"&amp;J887,'LCA data'!$B$7:$X$200,19,FALSE)*(K887*10^3)*E887,""),"")</f>
        <v/>
      </c>
    </row>
    <row r="888" spans="35:41" x14ac:dyDescent="0.35">
      <c r="AI888" s="324" t="str">
        <f>IFERROR(VLOOKUP(D888&amp;"_"&amp;J888,'LCA data'!$B$7:$X$200,19,FALSE)*(K888*10^3)*E888,"")</f>
        <v/>
      </c>
      <c r="AK888" s="252" t="str">
        <f>IFERROR(IF(M888&gt;0,VLOOKUP(D888&amp;"_"&amp;J888,'LCA data'!$B$7:$X$200,19,FALSE)*(K888*10^3)*E888,""),"")</f>
        <v/>
      </c>
      <c r="AM888" s="252" t="str">
        <f>IFERROR(IF(M888-1&gt;0,VLOOKUP(D888&amp;"_"&amp;J888,'LCA data'!$B$7:$X$200,19,FALSE)*(K888*10^3)*E888,""),"")</f>
        <v/>
      </c>
      <c r="AO888" s="324" t="str">
        <f>IFERROR(IF(M888-2&gt;0,VLOOKUP(D888&amp;"_"&amp;J888,'LCA data'!$B$7:$X$200,19,FALSE)*(K888*10^3)*E888,""),"")</f>
        <v/>
      </c>
    </row>
    <row r="889" spans="35:41" x14ac:dyDescent="0.35">
      <c r="AI889" s="324" t="str">
        <f>IFERROR(VLOOKUP(D889&amp;"_"&amp;J889,'LCA data'!$B$7:$X$200,19,FALSE)*(K889*10^3)*E889,"")</f>
        <v/>
      </c>
      <c r="AK889" s="252" t="str">
        <f>IFERROR(IF(M889&gt;0,VLOOKUP(D889&amp;"_"&amp;J889,'LCA data'!$B$7:$X$200,19,FALSE)*(K889*10^3)*E889,""),"")</f>
        <v/>
      </c>
      <c r="AM889" s="252" t="str">
        <f>IFERROR(IF(M889-1&gt;0,VLOOKUP(D889&amp;"_"&amp;J889,'LCA data'!$B$7:$X$200,19,FALSE)*(K889*10^3)*E889,""),"")</f>
        <v/>
      </c>
      <c r="AO889" s="324" t="str">
        <f>IFERROR(IF(M889-2&gt;0,VLOOKUP(D889&amp;"_"&amp;J889,'LCA data'!$B$7:$X$200,19,FALSE)*(K889*10^3)*E889,""),"")</f>
        <v/>
      </c>
    </row>
    <row r="890" spans="35:41" x14ac:dyDescent="0.35">
      <c r="AI890" s="324" t="str">
        <f>IFERROR(VLOOKUP(D890&amp;"_"&amp;J890,'LCA data'!$B$7:$X$200,19,FALSE)*(K890*10^3)*E890,"")</f>
        <v/>
      </c>
      <c r="AK890" s="252" t="str">
        <f>IFERROR(IF(M890&gt;0,VLOOKUP(D890&amp;"_"&amp;J890,'LCA data'!$B$7:$X$200,19,FALSE)*(K890*10^3)*E890,""),"")</f>
        <v/>
      </c>
      <c r="AM890" s="252" t="str">
        <f>IFERROR(IF(M890-1&gt;0,VLOOKUP(D890&amp;"_"&amp;J890,'LCA data'!$B$7:$X$200,19,FALSE)*(K890*10^3)*E890,""),"")</f>
        <v/>
      </c>
      <c r="AO890" s="324" t="str">
        <f>IFERROR(IF(M890-2&gt;0,VLOOKUP(D890&amp;"_"&amp;J890,'LCA data'!$B$7:$X$200,19,FALSE)*(K890*10^3)*E890,""),"")</f>
        <v/>
      </c>
    </row>
    <row r="891" spans="35:41" x14ac:dyDescent="0.35">
      <c r="AI891" s="324" t="str">
        <f>IFERROR(VLOOKUP(D891&amp;"_"&amp;J891,'LCA data'!$B$7:$X$200,19,FALSE)*(K891*10^3)*E891,"")</f>
        <v/>
      </c>
      <c r="AK891" s="252" t="str">
        <f>IFERROR(IF(M891&gt;0,VLOOKUP(D891&amp;"_"&amp;J891,'LCA data'!$B$7:$X$200,19,FALSE)*(K891*10^3)*E891,""),"")</f>
        <v/>
      </c>
      <c r="AM891" s="252" t="str">
        <f>IFERROR(IF(M891-1&gt;0,VLOOKUP(D891&amp;"_"&amp;J891,'LCA data'!$B$7:$X$200,19,FALSE)*(K891*10^3)*E891,""),"")</f>
        <v/>
      </c>
      <c r="AO891" s="324" t="str">
        <f>IFERROR(IF(M891-2&gt;0,VLOOKUP(D891&amp;"_"&amp;J891,'LCA data'!$B$7:$X$200,19,FALSE)*(K891*10^3)*E891,""),"")</f>
        <v/>
      </c>
    </row>
    <row r="892" spans="35:41" x14ac:dyDescent="0.35">
      <c r="AI892" s="324" t="str">
        <f>IFERROR(VLOOKUP(D892&amp;"_"&amp;J892,'LCA data'!$B$7:$X$200,19,FALSE)*(K892*10^3)*E892,"")</f>
        <v/>
      </c>
      <c r="AK892" s="252" t="str">
        <f>IFERROR(IF(M892&gt;0,VLOOKUP(D892&amp;"_"&amp;J892,'LCA data'!$B$7:$X$200,19,FALSE)*(K892*10^3)*E892,""),"")</f>
        <v/>
      </c>
      <c r="AM892" s="252" t="str">
        <f>IFERROR(IF(M892-1&gt;0,VLOOKUP(D892&amp;"_"&amp;J892,'LCA data'!$B$7:$X$200,19,FALSE)*(K892*10^3)*E892,""),"")</f>
        <v/>
      </c>
      <c r="AO892" s="324" t="str">
        <f>IFERROR(IF(M892-2&gt;0,VLOOKUP(D892&amp;"_"&amp;J892,'LCA data'!$B$7:$X$200,19,FALSE)*(K892*10^3)*E892,""),"")</f>
        <v/>
      </c>
    </row>
    <row r="893" spans="35:41" x14ac:dyDescent="0.35">
      <c r="AI893" s="324" t="str">
        <f>IFERROR(VLOOKUP(D893&amp;"_"&amp;J893,'LCA data'!$B$7:$X$200,19,FALSE)*(K893*10^3)*E893,"")</f>
        <v/>
      </c>
      <c r="AK893" s="252" t="str">
        <f>IFERROR(IF(M893&gt;0,VLOOKUP(D893&amp;"_"&amp;J893,'LCA data'!$B$7:$X$200,19,FALSE)*(K893*10^3)*E893,""),"")</f>
        <v/>
      </c>
      <c r="AM893" s="252" t="str">
        <f>IFERROR(IF(M893-1&gt;0,VLOOKUP(D893&amp;"_"&amp;J893,'LCA data'!$B$7:$X$200,19,FALSE)*(K893*10^3)*E893,""),"")</f>
        <v/>
      </c>
      <c r="AO893" s="324" t="str">
        <f>IFERROR(IF(M893-2&gt;0,VLOOKUP(D893&amp;"_"&amp;J893,'LCA data'!$B$7:$X$200,19,FALSE)*(K893*10^3)*E893,""),"")</f>
        <v/>
      </c>
    </row>
    <row r="894" spans="35:41" x14ac:dyDescent="0.35">
      <c r="AI894" s="324" t="str">
        <f>IFERROR(VLOOKUP(D894&amp;"_"&amp;J894,'LCA data'!$B$7:$X$200,19,FALSE)*(K894*10^3)*E894,"")</f>
        <v/>
      </c>
      <c r="AK894" s="252" t="str">
        <f>IFERROR(IF(M894&gt;0,VLOOKUP(D894&amp;"_"&amp;J894,'LCA data'!$B$7:$X$200,19,FALSE)*(K894*10^3)*E894,""),"")</f>
        <v/>
      </c>
      <c r="AM894" s="252" t="str">
        <f>IFERROR(IF(M894-1&gt;0,VLOOKUP(D894&amp;"_"&amp;J894,'LCA data'!$B$7:$X$200,19,FALSE)*(K894*10^3)*E894,""),"")</f>
        <v/>
      </c>
      <c r="AO894" s="324" t="str">
        <f>IFERROR(IF(M894-2&gt;0,VLOOKUP(D894&amp;"_"&amp;J894,'LCA data'!$B$7:$X$200,19,FALSE)*(K894*10^3)*E894,""),"")</f>
        <v/>
      </c>
    </row>
    <row r="895" spans="35:41" x14ac:dyDescent="0.35">
      <c r="AI895" s="324" t="str">
        <f>IFERROR(VLOOKUP(D895&amp;"_"&amp;J895,'LCA data'!$B$7:$X$200,19,FALSE)*(K895*10^3)*E895,"")</f>
        <v/>
      </c>
      <c r="AK895" s="252" t="str">
        <f>IFERROR(IF(M895&gt;0,VLOOKUP(D895&amp;"_"&amp;J895,'LCA data'!$B$7:$X$200,19,FALSE)*(K895*10^3)*E895,""),"")</f>
        <v/>
      </c>
      <c r="AM895" s="252" t="str">
        <f>IFERROR(IF(M895-1&gt;0,VLOOKUP(D895&amp;"_"&amp;J895,'LCA data'!$B$7:$X$200,19,FALSE)*(K895*10^3)*E895,""),"")</f>
        <v/>
      </c>
      <c r="AO895" s="324" t="str">
        <f>IFERROR(IF(M895-2&gt;0,VLOOKUP(D895&amp;"_"&amp;J895,'LCA data'!$B$7:$X$200,19,FALSE)*(K895*10^3)*E895,""),"")</f>
        <v/>
      </c>
    </row>
    <row r="896" spans="35:41" x14ac:dyDescent="0.35">
      <c r="AI896" s="324" t="str">
        <f>IFERROR(VLOOKUP(D896&amp;"_"&amp;J896,'LCA data'!$B$7:$X$200,19,FALSE)*(K896*10^3)*E896,"")</f>
        <v/>
      </c>
      <c r="AK896" s="252" t="str">
        <f>IFERROR(IF(M896&gt;0,VLOOKUP(D896&amp;"_"&amp;J896,'LCA data'!$B$7:$X$200,19,FALSE)*(K896*10^3)*E896,""),"")</f>
        <v/>
      </c>
      <c r="AM896" s="252" t="str">
        <f>IFERROR(IF(M896-1&gt;0,VLOOKUP(D896&amp;"_"&amp;J896,'LCA data'!$B$7:$X$200,19,FALSE)*(K896*10^3)*E896,""),"")</f>
        <v/>
      </c>
      <c r="AO896" s="324" t="str">
        <f>IFERROR(IF(M896-2&gt;0,VLOOKUP(D896&amp;"_"&amp;J896,'LCA data'!$B$7:$X$200,19,FALSE)*(K896*10^3)*E896,""),"")</f>
        <v/>
      </c>
    </row>
    <row r="897" spans="35:41" x14ac:dyDescent="0.35">
      <c r="AI897" s="324" t="str">
        <f>IFERROR(VLOOKUP(D897&amp;"_"&amp;J897,'LCA data'!$B$7:$X$200,19,FALSE)*(K897*10^3)*E897,"")</f>
        <v/>
      </c>
      <c r="AK897" s="252" t="str">
        <f>IFERROR(IF(M897&gt;0,VLOOKUP(D897&amp;"_"&amp;J897,'LCA data'!$B$7:$X$200,19,FALSE)*(K897*10^3)*E897,""),"")</f>
        <v/>
      </c>
      <c r="AM897" s="252" t="str">
        <f>IFERROR(IF(M897-1&gt;0,VLOOKUP(D897&amp;"_"&amp;J897,'LCA data'!$B$7:$X$200,19,FALSE)*(K897*10^3)*E897,""),"")</f>
        <v/>
      </c>
      <c r="AO897" s="324" t="str">
        <f>IFERROR(IF(M897-2&gt;0,VLOOKUP(D897&amp;"_"&amp;J897,'LCA data'!$B$7:$X$200,19,FALSE)*(K897*10^3)*E897,""),"")</f>
        <v/>
      </c>
    </row>
    <row r="898" spans="35:41" x14ac:dyDescent="0.35">
      <c r="AI898" s="324" t="str">
        <f>IFERROR(VLOOKUP(D898&amp;"_"&amp;J898,'LCA data'!$B$7:$X$200,19,FALSE)*(K898*10^3)*E898,"")</f>
        <v/>
      </c>
      <c r="AK898" s="252" t="str">
        <f>IFERROR(IF(M898&gt;0,VLOOKUP(D898&amp;"_"&amp;J898,'LCA data'!$B$7:$X$200,19,FALSE)*(K898*10^3)*E898,""),"")</f>
        <v/>
      </c>
      <c r="AM898" s="252" t="str">
        <f>IFERROR(IF(M898-1&gt;0,VLOOKUP(D898&amp;"_"&amp;J898,'LCA data'!$B$7:$X$200,19,FALSE)*(K898*10^3)*E898,""),"")</f>
        <v/>
      </c>
      <c r="AO898" s="324" t="str">
        <f>IFERROR(IF(M898-2&gt;0,VLOOKUP(D898&amp;"_"&amp;J898,'LCA data'!$B$7:$X$200,19,FALSE)*(K898*10^3)*E898,""),"")</f>
        <v/>
      </c>
    </row>
    <row r="899" spans="35:41" x14ac:dyDescent="0.35">
      <c r="AI899" s="324" t="str">
        <f>IFERROR(VLOOKUP(D899&amp;"_"&amp;J899,'LCA data'!$B$7:$X$200,19,FALSE)*(K899*10^3)*E899,"")</f>
        <v/>
      </c>
      <c r="AK899" s="252" t="str">
        <f>IFERROR(IF(M899&gt;0,VLOOKUP(D899&amp;"_"&amp;J899,'LCA data'!$B$7:$X$200,19,FALSE)*(K899*10^3)*E899,""),"")</f>
        <v/>
      </c>
      <c r="AM899" s="252" t="str">
        <f>IFERROR(IF(M899-1&gt;0,VLOOKUP(D899&amp;"_"&amp;J899,'LCA data'!$B$7:$X$200,19,FALSE)*(K899*10^3)*E899,""),"")</f>
        <v/>
      </c>
      <c r="AO899" s="324" t="str">
        <f>IFERROR(IF(M899-2&gt;0,VLOOKUP(D899&amp;"_"&amp;J899,'LCA data'!$B$7:$X$200,19,FALSE)*(K899*10^3)*E899,""),"")</f>
        <v/>
      </c>
    </row>
    <row r="900" spans="35:41" x14ac:dyDescent="0.35">
      <c r="AI900" s="324" t="str">
        <f>IFERROR(VLOOKUP(D900&amp;"_"&amp;J900,'LCA data'!$B$7:$X$200,19,FALSE)*(K900*10^3)*E900,"")</f>
        <v/>
      </c>
      <c r="AK900" s="252" t="str">
        <f>IFERROR(IF(M900&gt;0,VLOOKUP(D900&amp;"_"&amp;J900,'LCA data'!$B$7:$X$200,19,FALSE)*(K900*10^3)*E900,""),"")</f>
        <v/>
      </c>
      <c r="AM900" s="252" t="str">
        <f>IFERROR(IF(M900-1&gt;0,VLOOKUP(D900&amp;"_"&amp;J900,'LCA data'!$B$7:$X$200,19,FALSE)*(K900*10^3)*E900,""),"")</f>
        <v/>
      </c>
      <c r="AO900" s="324" t="str">
        <f>IFERROR(IF(M900-2&gt;0,VLOOKUP(D900&amp;"_"&amp;J900,'LCA data'!$B$7:$X$200,19,FALSE)*(K900*10^3)*E900,""),"")</f>
        <v/>
      </c>
    </row>
    <row r="901" spans="35:41" x14ac:dyDescent="0.35">
      <c r="AI901" s="324" t="str">
        <f>IFERROR(VLOOKUP(D901&amp;"_"&amp;J901,'LCA data'!$B$7:$X$200,19,FALSE)*(K901*10^3)*E901,"")</f>
        <v/>
      </c>
      <c r="AK901" s="252" t="str">
        <f>IFERROR(IF(M901&gt;0,VLOOKUP(D901&amp;"_"&amp;J901,'LCA data'!$B$7:$X$200,19,FALSE)*(K901*10^3)*E901,""),"")</f>
        <v/>
      </c>
      <c r="AM901" s="252" t="str">
        <f>IFERROR(IF(M901-1&gt;0,VLOOKUP(D901&amp;"_"&amp;J901,'LCA data'!$B$7:$X$200,19,FALSE)*(K901*10^3)*E901,""),"")</f>
        <v/>
      </c>
      <c r="AO901" s="324" t="str">
        <f>IFERROR(IF(M901-2&gt;0,VLOOKUP(D901&amp;"_"&amp;J901,'LCA data'!$B$7:$X$200,19,FALSE)*(K901*10^3)*E901,""),"")</f>
        <v/>
      </c>
    </row>
    <row r="902" spans="35:41" x14ac:dyDescent="0.35">
      <c r="AI902" s="324" t="str">
        <f>IFERROR(VLOOKUP(D902&amp;"_"&amp;J902,'LCA data'!$B$7:$X$200,19,FALSE)*(K902*10^3)*E902,"")</f>
        <v/>
      </c>
      <c r="AK902" s="252" t="str">
        <f>IFERROR(IF(M902&gt;0,VLOOKUP(D902&amp;"_"&amp;J902,'LCA data'!$B$7:$X$200,19,FALSE)*(K902*10^3)*E902,""),"")</f>
        <v/>
      </c>
      <c r="AM902" s="252" t="str">
        <f>IFERROR(IF(M902-1&gt;0,VLOOKUP(D902&amp;"_"&amp;J902,'LCA data'!$B$7:$X$200,19,FALSE)*(K902*10^3)*E902,""),"")</f>
        <v/>
      </c>
      <c r="AO902" s="324" t="str">
        <f>IFERROR(IF(M902-2&gt;0,VLOOKUP(D902&amp;"_"&amp;J902,'LCA data'!$B$7:$X$200,19,FALSE)*(K902*10^3)*E902,""),"")</f>
        <v/>
      </c>
    </row>
    <row r="903" spans="35:41" x14ac:dyDescent="0.35">
      <c r="AI903" s="324" t="str">
        <f>IFERROR(VLOOKUP(D903&amp;"_"&amp;J903,'LCA data'!$B$7:$X$200,19,FALSE)*(K903*10^3)*E903,"")</f>
        <v/>
      </c>
      <c r="AK903" s="252" t="str">
        <f>IFERROR(IF(M903&gt;0,VLOOKUP(D903&amp;"_"&amp;J903,'LCA data'!$B$7:$X$200,19,FALSE)*(K903*10^3)*E903,""),"")</f>
        <v/>
      </c>
      <c r="AM903" s="252" t="str">
        <f>IFERROR(IF(M903-1&gt;0,VLOOKUP(D903&amp;"_"&amp;J903,'LCA data'!$B$7:$X$200,19,FALSE)*(K903*10^3)*E903,""),"")</f>
        <v/>
      </c>
      <c r="AO903" s="324" t="str">
        <f>IFERROR(IF(M903-2&gt;0,VLOOKUP(D903&amp;"_"&amp;J903,'LCA data'!$B$7:$X$200,19,FALSE)*(K903*10^3)*E903,""),"")</f>
        <v/>
      </c>
    </row>
    <row r="904" spans="35:41" x14ac:dyDescent="0.35">
      <c r="AI904" s="324" t="str">
        <f>IFERROR(VLOOKUP(D904&amp;"_"&amp;J904,'LCA data'!$B$7:$X$200,19,FALSE)*(K904*10^3)*E904,"")</f>
        <v/>
      </c>
      <c r="AK904" s="252" t="str">
        <f>IFERROR(IF(M904&gt;0,VLOOKUP(D904&amp;"_"&amp;J904,'LCA data'!$B$7:$X$200,19,FALSE)*(K904*10^3)*E904,""),"")</f>
        <v/>
      </c>
      <c r="AM904" s="252" t="str">
        <f>IFERROR(IF(M904-1&gt;0,VLOOKUP(D904&amp;"_"&amp;J904,'LCA data'!$B$7:$X$200,19,FALSE)*(K904*10^3)*E904,""),"")</f>
        <v/>
      </c>
      <c r="AO904" s="324" t="str">
        <f>IFERROR(IF(M904-2&gt;0,VLOOKUP(D904&amp;"_"&amp;J904,'LCA data'!$B$7:$X$200,19,FALSE)*(K904*10^3)*E904,""),"")</f>
        <v/>
      </c>
    </row>
    <row r="905" spans="35:41" x14ac:dyDescent="0.35">
      <c r="AI905" s="324" t="str">
        <f>IFERROR(VLOOKUP(D905&amp;"_"&amp;J905,'LCA data'!$B$7:$X$200,19,FALSE)*(K905*10^3)*E905,"")</f>
        <v/>
      </c>
      <c r="AK905" s="252" t="str">
        <f>IFERROR(IF(M905&gt;0,VLOOKUP(D905&amp;"_"&amp;J905,'LCA data'!$B$7:$X$200,19,FALSE)*(K905*10^3)*E905,""),"")</f>
        <v/>
      </c>
      <c r="AM905" s="252" t="str">
        <f>IFERROR(IF(M905-1&gt;0,VLOOKUP(D905&amp;"_"&amp;J905,'LCA data'!$B$7:$X$200,19,FALSE)*(K905*10^3)*E905,""),"")</f>
        <v/>
      </c>
      <c r="AO905" s="324" t="str">
        <f>IFERROR(IF(M905-2&gt;0,VLOOKUP(D905&amp;"_"&amp;J905,'LCA data'!$B$7:$X$200,19,FALSE)*(K905*10^3)*E905,""),"")</f>
        <v/>
      </c>
    </row>
    <row r="906" spans="35:41" x14ac:dyDescent="0.35">
      <c r="AI906" s="324" t="str">
        <f>IFERROR(VLOOKUP(D906&amp;"_"&amp;J906,'LCA data'!$B$7:$X$200,19,FALSE)*(K906*10^3)*E906,"")</f>
        <v/>
      </c>
      <c r="AK906" s="252" t="str">
        <f>IFERROR(IF(M906&gt;0,VLOOKUP(D906&amp;"_"&amp;J906,'LCA data'!$B$7:$X$200,19,FALSE)*(K906*10^3)*E906,""),"")</f>
        <v/>
      </c>
      <c r="AM906" s="252" t="str">
        <f>IFERROR(IF(M906-1&gt;0,VLOOKUP(D906&amp;"_"&amp;J906,'LCA data'!$B$7:$X$200,19,FALSE)*(K906*10^3)*E906,""),"")</f>
        <v/>
      </c>
      <c r="AO906" s="324" t="str">
        <f>IFERROR(IF(M906-2&gt;0,VLOOKUP(D906&amp;"_"&amp;J906,'LCA data'!$B$7:$X$200,19,FALSE)*(K906*10^3)*E906,""),"")</f>
        <v/>
      </c>
    </row>
    <row r="907" spans="35:41" x14ac:dyDescent="0.35">
      <c r="AI907" s="324" t="str">
        <f>IFERROR(VLOOKUP(D907&amp;"_"&amp;J907,'LCA data'!$B$7:$X$200,19,FALSE)*(K907*10^3)*E907,"")</f>
        <v/>
      </c>
      <c r="AK907" s="252" t="str">
        <f>IFERROR(IF(M907&gt;0,VLOOKUP(D907&amp;"_"&amp;J907,'LCA data'!$B$7:$X$200,19,FALSE)*(K907*10^3)*E907,""),"")</f>
        <v/>
      </c>
      <c r="AM907" s="252" t="str">
        <f>IFERROR(IF(M907-1&gt;0,VLOOKUP(D907&amp;"_"&amp;J907,'LCA data'!$B$7:$X$200,19,FALSE)*(K907*10^3)*E907,""),"")</f>
        <v/>
      </c>
      <c r="AO907" s="324" t="str">
        <f>IFERROR(IF(M907-2&gt;0,VLOOKUP(D907&amp;"_"&amp;J907,'LCA data'!$B$7:$X$200,19,FALSE)*(K907*10^3)*E907,""),"")</f>
        <v/>
      </c>
    </row>
    <row r="908" spans="35:41" x14ac:dyDescent="0.35">
      <c r="AI908" s="324" t="str">
        <f>IFERROR(VLOOKUP(D908&amp;"_"&amp;J908,'LCA data'!$B$7:$X$200,19,FALSE)*(K908*10^3)*E908,"")</f>
        <v/>
      </c>
      <c r="AK908" s="252" t="str">
        <f>IFERROR(IF(M908&gt;0,VLOOKUP(D908&amp;"_"&amp;J908,'LCA data'!$B$7:$X$200,19,FALSE)*(K908*10^3)*E908,""),"")</f>
        <v/>
      </c>
      <c r="AM908" s="252" t="str">
        <f>IFERROR(IF(M908-1&gt;0,VLOOKUP(D908&amp;"_"&amp;J908,'LCA data'!$B$7:$X$200,19,FALSE)*(K908*10^3)*E908,""),"")</f>
        <v/>
      </c>
      <c r="AO908" s="324" t="str">
        <f>IFERROR(IF(M908-2&gt;0,VLOOKUP(D908&amp;"_"&amp;J908,'LCA data'!$B$7:$X$200,19,FALSE)*(K908*10^3)*E908,""),"")</f>
        <v/>
      </c>
    </row>
    <row r="909" spans="35:41" x14ac:dyDescent="0.35">
      <c r="AI909" s="324" t="str">
        <f>IFERROR(VLOOKUP(D909&amp;"_"&amp;J909,'LCA data'!$B$7:$X$200,19,FALSE)*(K909*10^3)*E909,"")</f>
        <v/>
      </c>
      <c r="AK909" s="252" t="str">
        <f>IFERROR(IF(M909&gt;0,VLOOKUP(D909&amp;"_"&amp;J909,'LCA data'!$B$7:$X$200,19,FALSE)*(K909*10^3)*E909,""),"")</f>
        <v/>
      </c>
      <c r="AM909" s="252" t="str">
        <f>IFERROR(IF(M909-1&gt;0,VLOOKUP(D909&amp;"_"&amp;J909,'LCA data'!$B$7:$X$200,19,FALSE)*(K909*10^3)*E909,""),"")</f>
        <v/>
      </c>
      <c r="AO909" s="324" t="str">
        <f>IFERROR(IF(M909-2&gt;0,VLOOKUP(D909&amp;"_"&amp;J909,'LCA data'!$B$7:$X$200,19,FALSE)*(K909*10^3)*E909,""),"")</f>
        <v/>
      </c>
    </row>
    <row r="910" spans="35:41" x14ac:dyDescent="0.35">
      <c r="AI910" s="324" t="str">
        <f>IFERROR(VLOOKUP(D910&amp;"_"&amp;J910,'LCA data'!$B$7:$X$200,19,FALSE)*(K910*10^3)*E910,"")</f>
        <v/>
      </c>
      <c r="AK910" s="252" t="str">
        <f>IFERROR(IF(M910&gt;0,VLOOKUP(D910&amp;"_"&amp;J910,'LCA data'!$B$7:$X$200,19,FALSE)*(K910*10^3)*E910,""),"")</f>
        <v/>
      </c>
      <c r="AM910" s="252" t="str">
        <f>IFERROR(IF(M910-1&gt;0,VLOOKUP(D910&amp;"_"&amp;J910,'LCA data'!$B$7:$X$200,19,FALSE)*(K910*10^3)*E910,""),"")</f>
        <v/>
      </c>
      <c r="AO910" s="324" t="str">
        <f>IFERROR(IF(M910-2&gt;0,VLOOKUP(D910&amp;"_"&amp;J910,'LCA data'!$B$7:$X$200,19,FALSE)*(K910*10^3)*E910,""),"")</f>
        <v/>
      </c>
    </row>
    <row r="911" spans="35:41" x14ac:dyDescent="0.35">
      <c r="AI911" s="324" t="str">
        <f>IFERROR(VLOOKUP(D911&amp;"_"&amp;J911,'LCA data'!$B$7:$X$200,19,FALSE)*(K911*10^3)*E911,"")</f>
        <v/>
      </c>
      <c r="AK911" s="252" t="str">
        <f>IFERROR(IF(M911&gt;0,VLOOKUP(D911&amp;"_"&amp;J911,'LCA data'!$B$7:$X$200,19,FALSE)*(K911*10^3)*E911,""),"")</f>
        <v/>
      </c>
      <c r="AM911" s="252" t="str">
        <f>IFERROR(IF(M911-1&gt;0,VLOOKUP(D911&amp;"_"&amp;J911,'LCA data'!$B$7:$X$200,19,FALSE)*(K911*10^3)*E911,""),"")</f>
        <v/>
      </c>
      <c r="AO911" s="324" t="str">
        <f>IFERROR(IF(M911-2&gt;0,VLOOKUP(D911&amp;"_"&amp;J911,'LCA data'!$B$7:$X$200,19,FALSE)*(K911*10^3)*E911,""),"")</f>
        <v/>
      </c>
    </row>
    <row r="912" spans="35:41" x14ac:dyDescent="0.35">
      <c r="AI912" s="324" t="str">
        <f>IFERROR(VLOOKUP(D912&amp;"_"&amp;J912,'LCA data'!$B$7:$X$200,19,FALSE)*(K912*10^3)*E912,"")</f>
        <v/>
      </c>
      <c r="AK912" s="252" t="str">
        <f>IFERROR(IF(M912&gt;0,VLOOKUP(D912&amp;"_"&amp;J912,'LCA data'!$B$7:$X$200,19,FALSE)*(K912*10^3)*E912,""),"")</f>
        <v/>
      </c>
      <c r="AM912" s="252" t="str">
        <f>IFERROR(IF(M912-1&gt;0,VLOOKUP(D912&amp;"_"&amp;J912,'LCA data'!$B$7:$X$200,19,FALSE)*(K912*10^3)*E912,""),"")</f>
        <v/>
      </c>
      <c r="AO912" s="324" t="str">
        <f>IFERROR(IF(M912-2&gt;0,VLOOKUP(D912&amp;"_"&amp;J912,'LCA data'!$B$7:$X$200,19,FALSE)*(K912*10^3)*E912,""),"")</f>
        <v/>
      </c>
    </row>
    <row r="913" spans="35:41" x14ac:dyDescent="0.35">
      <c r="AI913" s="324" t="str">
        <f>IFERROR(VLOOKUP(D913&amp;"_"&amp;J913,'LCA data'!$B$7:$X$200,19,FALSE)*(K913*10^3)*E913,"")</f>
        <v/>
      </c>
      <c r="AK913" s="252" t="str">
        <f>IFERROR(IF(M913&gt;0,VLOOKUP(D913&amp;"_"&amp;J913,'LCA data'!$B$7:$X$200,19,FALSE)*(K913*10^3)*E913,""),"")</f>
        <v/>
      </c>
      <c r="AM913" s="252" t="str">
        <f>IFERROR(IF(M913-1&gt;0,VLOOKUP(D913&amp;"_"&amp;J913,'LCA data'!$B$7:$X$200,19,FALSE)*(K913*10^3)*E913,""),"")</f>
        <v/>
      </c>
      <c r="AO913" s="324" t="str">
        <f>IFERROR(IF(M913-2&gt;0,VLOOKUP(D913&amp;"_"&amp;J913,'LCA data'!$B$7:$X$200,19,FALSE)*(K913*10^3)*E913,""),"")</f>
        <v/>
      </c>
    </row>
  </sheetData>
  <sheetProtection algorithmName="SHA-512" hashValue="sf1EyQH0JKDNrMSfabmYI+ir7Q8twij5A2xZnkZK1q4JcYxxXI457V3Ci9tXEOp+L3xd64hvItZPfYva47oVvg==" saltValue="AWv8biC4GdOkOueF2cMc9Q==" spinCount="100000" sheet="1" formatRows="0" selectLockedCells="1"/>
  <dataConsolidate/>
  <mergeCells count="424">
    <mergeCell ref="Q509:Q516"/>
    <mergeCell ref="I512:J512"/>
    <mergeCell ref="I513:J513"/>
    <mergeCell ref="I507:J507"/>
    <mergeCell ref="I508:J508"/>
    <mergeCell ref="K508:L508"/>
    <mergeCell ref="I511:J511"/>
    <mergeCell ref="K516:M516"/>
    <mergeCell ref="D513:E513"/>
    <mergeCell ref="D507:E507"/>
    <mergeCell ref="D508:E508"/>
    <mergeCell ref="F508:G508"/>
    <mergeCell ref="D512:E512"/>
    <mergeCell ref="B506:C506"/>
    <mergeCell ref="D514:E514"/>
    <mergeCell ref="I514:J514"/>
    <mergeCell ref="I509:J509"/>
    <mergeCell ref="E43:F43"/>
    <mergeCell ref="D219:H219"/>
    <mergeCell ref="D230:E230"/>
    <mergeCell ref="I230:J230"/>
    <mergeCell ref="D107:E107"/>
    <mergeCell ref="I106:J106"/>
    <mergeCell ref="I107:J107"/>
    <mergeCell ref="D105:H105"/>
    <mergeCell ref="I105:M105"/>
    <mergeCell ref="I229:M229"/>
    <mergeCell ref="D199:H199"/>
    <mergeCell ref="I200:J200"/>
    <mergeCell ref="D179:H179"/>
    <mergeCell ref="F509:G509"/>
    <mergeCell ref="K509:L509"/>
    <mergeCell ref="I240:J240"/>
    <mergeCell ref="I241:J241"/>
    <mergeCell ref="I239:M239"/>
    <mergeCell ref="D239:H239"/>
    <mergeCell ref="D95:E95"/>
    <mergeCell ref="D221:E221"/>
    <mergeCell ref="I220:J220"/>
    <mergeCell ref="I221:J221"/>
    <mergeCell ref="O36:Q36"/>
    <mergeCell ref="O38:S39"/>
    <mergeCell ref="O40:Q41"/>
    <mergeCell ref="R40:S41"/>
    <mergeCell ref="D211:E211"/>
    <mergeCell ref="D106:E106"/>
    <mergeCell ref="Q142:Q145"/>
    <mergeCell ref="O162:O165"/>
    <mergeCell ref="Q152:Q155"/>
    <mergeCell ref="N149:Q149"/>
    <mergeCell ref="O152:O155"/>
    <mergeCell ref="N179:Q179"/>
    <mergeCell ref="Q172:Q175"/>
    <mergeCell ref="O172:O175"/>
    <mergeCell ref="C50:D50"/>
    <mergeCell ref="E38:F38"/>
    <mergeCell ref="C38:D38"/>
    <mergeCell ref="C39:D39"/>
    <mergeCell ref="I140:J140"/>
    <mergeCell ref="I150:J150"/>
    <mergeCell ref="D509:E509"/>
    <mergeCell ref="F512:G512"/>
    <mergeCell ref="F513:G513"/>
    <mergeCell ref="F514:G514"/>
    <mergeCell ref="D511:E511"/>
    <mergeCell ref="K512:L512"/>
    <mergeCell ref="K513:L513"/>
    <mergeCell ref="K514:L514"/>
    <mergeCell ref="C36:D36"/>
    <mergeCell ref="E36:F36"/>
    <mergeCell ref="E41:F42"/>
    <mergeCell ref="E44:F44"/>
    <mergeCell ref="E45:F45"/>
    <mergeCell ref="D72:H72"/>
    <mergeCell ref="D84:E84"/>
    <mergeCell ref="D83:H83"/>
    <mergeCell ref="C46:D46"/>
    <mergeCell ref="C47:D47"/>
    <mergeCell ref="I85:J85"/>
    <mergeCell ref="I95:J95"/>
    <mergeCell ref="I96:J96"/>
    <mergeCell ref="D85:E85"/>
    <mergeCell ref="D96:E96"/>
    <mergeCell ref="D94:H94"/>
    <mergeCell ref="B6:G6"/>
    <mergeCell ref="B24:G24"/>
    <mergeCell ref="E28:F28"/>
    <mergeCell ref="E27:F27"/>
    <mergeCell ref="C31:D31"/>
    <mergeCell ref="E31:F31"/>
    <mergeCell ref="E35:F35"/>
    <mergeCell ref="C35:D35"/>
    <mergeCell ref="C27:D27"/>
    <mergeCell ref="E26:F26"/>
    <mergeCell ref="C26:D26"/>
    <mergeCell ref="E29:F29"/>
    <mergeCell ref="B7:G7"/>
    <mergeCell ref="B18:G18"/>
    <mergeCell ref="C29:D29"/>
    <mergeCell ref="C28:D28"/>
    <mergeCell ref="C19:D19"/>
    <mergeCell ref="D259:H259"/>
    <mergeCell ref="I259:M259"/>
    <mergeCell ref="I297:J297"/>
    <mergeCell ref="I295:J295"/>
    <mergeCell ref="D303:H303"/>
    <mergeCell ref="I303:M303"/>
    <mergeCell ref="C20:D20"/>
    <mergeCell ref="C21:D21"/>
    <mergeCell ref="C34:D34"/>
    <mergeCell ref="E30:F30"/>
    <mergeCell ref="E32:F32"/>
    <mergeCell ref="C32:D32"/>
    <mergeCell ref="C30:D30"/>
    <mergeCell ref="D231:E231"/>
    <mergeCell ref="D117:E117"/>
    <mergeCell ref="D116:H116"/>
    <mergeCell ref="D150:E150"/>
    <mergeCell ref="C40:D40"/>
    <mergeCell ref="C41:D41"/>
    <mergeCell ref="C42:D42"/>
    <mergeCell ref="E46:F47"/>
    <mergeCell ref="E48:F48"/>
    <mergeCell ref="C44:D44"/>
    <mergeCell ref="C45:D45"/>
    <mergeCell ref="D260:E260"/>
    <mergeCell ref="I260:J260"/>
    <mergeCell ref="O262:O264"/>
    <mergeCell ref="Q262:Q264"/>
    <mergeCell ref="K264:L264"/>
    <mergeCell ref="I264:J264"/>
    <mergeCell ref="F264:G264"/>
    <mergeCell ref="D264:E264"/>
    <mergeCell ref="K261:L261"/>
    <mergeCell ref="K262:L262"/>
    <mergeCell ref="I261:J261"/>
    <mergeCell ref="I262:J262"/>
    <mergeCell ref="F261:G261"/>
    <mergeCell ref="F262:G262"/>
    <mergeCell ref="D261:E261"/>
    <mergeCell ref="D262:E262"/>
    <mergeCell ref="I304:J304"/>
    <mergeCell ref="D306:E306"/>
    <mergeCell ref="D307:E307"/>
    <mergeCell ref="I307:J307"/>
    <mergeCell ref="D298:E298"/>
    <mergeCell ref="I363:J363"/>
    <mergeCell ref="I312:M312"/>
    <mergeCell ref="D312:H312"/>
    <mergeCell ref="D321:H321"/>
    <mergeCell ref="I321:M321"/>
    <mergeCell ref="I313:J313"/>
    <mergeCell ref="I306:J306"/>
    <mergeCell ref="D322:E322"/>
    <mergeCell ref="D325:E325"/>
    <mergeCell ref="I342:J342"/>
    <mergeCell ref="I341:M341"/>
    <mergeCell ref="I324:J324"/>
    <mergeCell ref="I351:M351"/>
    <mergeCell ref="D351:H351"/>
    <mergeCell ref="D342:E342"/>
    <mergeCell ref="D341:H341"/>
    <mergeCell ref="I219:M219"/>
    <mergeCell ref="D160:E160"/>
    <mergeCell ref="D161:E161"/>
    <mergeCell ref="D159:H159"/>
    <mergeCell ref="I116:M116"/>
    <mergeCell ref="I117:J117"/>
    <mergeCell ref="I118:J118"/>
    <mergeCell ref="I139:M139"/>
    <mergeCell ref="I211:J211"/>
    <mergeCell ref="I209:M209"/>
    <mergeCell ref="D149:H149"/>
    <mergeCell ref="I151:J151"/>
    <mergeCell ref="I149:M149"/>
    <mergeCell ref="D139:H139"/>
    <mergeCell ref="D140:E140"/>
    <mergeCell ref="D180:E180"/>
    <mergeCell ref="D181:E181"/>
    <mergeCell ref="D209:H209"/>
    <mergeCell ref="D210:E210"/>
    <mergeCell ref="P19:Q19"/>
    <mergeCell ref="R19:S19"/>
    <mergeCell ref="R20:S20"/>
    <mergeCell ref="P20:Q20"/>
    <mergeCell ref="O26:Q28"/>
    <mergeCell ref="D170:E170"/>
    <mergeCell ref="I199:M199"/>
    <mergeCell ref="D151:E151"/>
    <mergeCell ref="I84:J84"/>
    <mergeCell ref="N103:P103"/>
    <mergeCell ref="N105:Q105"/>
    <mergeCell ref="J103:L103"/>
    <mergeCell ref="N169:Q169"/>
    <mergeCell ref="Q162:Q165"/>
    <mergeCell ref="O119:O123"/>
    <mergeCell ref="Q119:Q123"/>
    <mergeCell ref="O142:O145"/>
    <mergeCell ref="O108:O112"/>
    <mergeCell ref="Q108:Q112"/>
    <mergeCell ref="D118:E118"/>
    <mergeCell ref="E25:F25"/>
    <mergeCell ref="C25:D25"/>
    <mergeCell ref="O24:S24"/>
    <mergeCell ref="H24:N24"/>
    <mergeCell ref="R25:S25"/>
    <mergeCell ref="O25:Q25"/>
    <mergeCell ref="D73:E73"/>
    <mergeCell ref="R36:S36"/>
    <mergeCell ref="C48:D48"/>
    <mergeCell ref="O42:Q43"/>
    <mergeCell ref="O44:Q44"/>
    <mergeCell ref="O45:S46"/>
    <mergeCell ref="R42:S43"/>
    <mergeCell ref="R44:S44"/>
    <mergeCell ref="C43:D43"/>
    <mergeCell ref="R37:S37"/>
    <mergeCell ref="O29:Q29"/>
    <mergeCell ref="R29:S29"/>
    <mergeCell ref="R26:S28"/>
    <mergeCell ref="R32:S33"/>
    <mergeCell ref="O32:Q33"/>
    <mergeCell ref="O34:Q35"/>
    <mergeCell ref="E33:F33"/>
    <mergeCell ref="E34:F34"/>
    <mergeCell ref="C33:D33"/>
    <mergeCell ref="C49:D49"/>
    <mergeCell ref="R34:S35"/>
    <mergeCell ref="D484:E484"/>
    <mergeCell ref="I484:J484"/>
    <mergeCell ref="D483:H483"/>
    <mergeCell ref="I483:M483"/>
    <mergeCell ref="I535:N535"/>
    <mergeCell ref="D535:H535"/>
    <mergeCell ref="D532:H534"/>
    <mergeCell ref="N473:Q473"/>
    <mergeCell ref="O476:O479"/>
    <mergeCell ref="Q476:Q479"/>
    <mergeCell ref="O486:O489"/>
    <mergeCell ref="Q486:Q489"/>
    <mergeCell ref="N483:Q483"/>
    <mergeCell ref="N532:Q532"/>
    <mergeCell ref="D474:E474"/>
    <mergeCell ref="I474:J474"/>
    <mergeCell ref="I473:M473"/>
    <mergeCell ref="D473:H473"/>
    <mergeCell ref="F515:G515"/>
    <mergeCell ref="D516:E516"/>
    <mergeCell ref="K515:L515"/>
    <mergeCell ref="I516:J516"/>
    <mergeCell ref="N506:Q506"/>
    <mergeCell ref="O509:O516"/>
    <mergeCell ref="D241:E241"/>
    <mergeCell ref="D362:E362"/>
    <mergeCell ref="D363:E363"/>
    <mergeCell ref="D361:H361"/>
    <mergeCell ref="D287:E287"/>
    <mergeCell ref="D288:E288"/>
    <mergeCell ref="D432:E432"/>
    <mergeCell ref="D433:E433"/>
    <mergeCell ref="D372:E372"/>
    <mergeCell ref="D373:E373"/>
    <mergeCell ref="D371:H371"/>
    <mergeCell ref="D324:E324"/>
    <mergeCell ref="D352:E352"/>
    <mergeCell ref="D353:E353"/>
    <mergeCell ref="D304:E304"/>
    <mergeCell ref="D382:E382"/>
    <mergeCell ref="D383:E383"/>
    <mergeCell ref="D402:E402"/>
    <mergeCell ref="D401:H401"/>
    <mergeCell ref="D295:E295"/>
    <mergeCell ref="D297:E297"/>
    <mergeCell ref="D313:E313"/>
    <mergeCell ref="D316:E316"/>
    <mergeCell ref="D315:E315"/>
    <mergeCell ref="D294:H294"/>
    <mergeCell ref="I160:J160"/>
    <mergeCell ref="I161:J161"/>
    <mergeCell ref="I159:M159"/>
    <mergeCell ref="I170:J170"/>
    <mergeCell ref="I171:J171"/>
    <mergeCell ref="I169:M169"/>
    <mergeCell ref="I180:J180"/>
    <mergeCell ref="I181:J181"/>
    <mergeCell ref="I179:M179"/>
    <mergeCell ref="I210:J210"/>
    <mergeCell ref="I285:J285"/>
    <mergeCell ref="D285:E285"/>
    <mergeCell ref="D284:H284"/>
    <mergeCell ref="I284:M284"/>
    <mergeCell ref="I287:J287"/>
    <mergeCell ref="I288:J288"/>
    <mergeCell ref="I231:J231"/>
    <mergeCell ref="D220:E220"/>
    <mergeCell ref="D229:H229"/>
    <mergeCell ref="D200:E200"/>
    <mergeCell ref="D171:E171"/>
    <mergeCell ref="D169:H169"/>
    <mergeCell ref="D240:E240"/>
    <mergeCell ref="N351:Q351"/>
    <mergeCell ref="Q354:Q357"/>
    <mergeCell ref="N361:Q361"/>
    <mergeCell ref="Q364:Q367"/>
    <mergeCell ref="N371:Q371"/>
    <mergeCell ref="I294:M294"/>
    <mergeCell ref="I371:M371"/>
    <mergeCell ref="I352:J352"/>
    <mergeCell ref="I362:J362"/>
    <mergeCell ref="I353:J353"/>
    <mergeCell ref="I316:J316"/>
    <mergeCell ref="I315:J315"/>
    <mergeCell ref="I325:J325"/>
    <mergeCell ref="I322:J322"/>
    <mergeCell ref="I361:M361"/>
    <mergeCell ref="N341:Q341"/>
    <mergeCell ref="Q344:Q347"/>
    <mergeCell ref="O344:O347"/>
    <mergeCell ref="O354:O357"/>
    <mergeCell ref="O364:O367"/>
    <mergeCell ref="I298:J298"/>
    <mergeCell ref="N321:Q321"/>
    <mergeCell ref="N303:Q303"/>
    <mergeCell ref="N312:Q312"/>
    <mergeCell ref="I372:J372"/>
    <mergeCell ref="I373:J373"/>
    <mergeCell ref="D412:E412"/>
    <mergeCell ref="I412:J412"/>
    <mergeCell ref="D411:H411"/>
    <mergeCell ref="I411:M411"/>
    <mergeCell ref="N401:Q401"/>
    <mergeCell ref="Q404:Q407"/>
    <mergeCell ref="O384:O387"/>
    <mergeCell ref="O404:O407"/>
    <mergeCell ref="Q384:Q387"/>
    <mergeCell ref="I402:J402"/>
    <mergeCell ref="I401:M401"/>
    <mergeCell ref="I382:J382"/>
    <mergeCell ref="I383:J383"/>
    <mergeCell ref="I381:M381"/>
    <mergeCell ref="Q374:Q377"/>
    <mergeCell ref="D381:H381"/>
    <mergeCell ref="I423:J423"/>
    <mergeCell ref="D422:E422"/>
    <mergeCell ref="D423:E423"/>
    <mergeCell ref="D421:H421"/>
    <mergeCell ref="I421:M421"/>
    <mergeCell ref="D413:E413"/>
    <mergeCell ref="I413:J413"/>
    <mergeCell ref="Q414:Q417"/>
    <mergeCell ref="O374:O377"/>
    <mergeCell ref="N381:Q381"/>
    <mergeCell ref="I422:J422"/>
    <mergeCell ref="D463:E463"/>
    <mergeCell ref="D462:H462"/>
    <mergeCell ref="I463:J463"/>
    <mergeCell ref="I462:M462"/>
    <mergeCell ref="I441:M441"/>
    <mergeCell ref="I432:J432"/>
    <mergeCell ref="I433:J433"/>
    <mergeCell ref="I431:M431"/>
    <mergeCell ref="I442:J442"/>
    <mergeCell ref="I443:J443"/>
    <mergeCell ref="D442:E442"/>
    <mergeCell ref="D431:H431"/>
    <mergeCell ref="D443:E443"/>
    <mergeCell ref="D441:H441"/>
    <mergeCell ref="O242:O245"/>
    <mergeCell ref="N239:Q239"/>
    <mergeCell ref="N209:Q209"/>
    <mergeCell ref="O182:O185"/>
    <mergeCell ref="Q202:Q205"/>
    <mergeCell ref="O222:O225"/>
    <mergeCell ref="O232:O235"/>
    <mergeCell ref="N294:Q294"/>
    <mergeCell ref="N229:Q229"/>
    <mergeCell ref="Q232:Q235"/>
    <mergeCell ref="Q212:Q215"/>
    <mergeCell ref="O202:O205"/>
    <mergeCell ref="N219:Q219"/>
    <mergeCell ref="Q222:Q225"/>
    <mergeCell ref="N199:Q199"/>
    <mergeCell ref="O212:O215"/>
    <mergeCell ref="N284:Q284"/>
    <mergeCell ref="Q242:Q245"/>
    <mergeCell ref="N259:Q259"/>
    <mergeCell ref="O465:O469"/>
    <mergeCell ref="Q465:Q469"/>
    <mergeCell ref="O414:O417"/>
    <mergeCell ref="O424:O427"/>
    <mergeCell ref="O434:O437"/>
    <mergeCell ref="O444:O447"/>
    <mergeCell ref="N431:Q431"/>
    <mergeCell ref="N462:Q462"/>
    <mergeCell ref="N411:Q411"/>
    <mergeCell ref="Q444:Q447"/>
    <mergeCell ref="Q434:Q437"/>
    <mergeCell ref="N441:Q441"/>
    <mergeCell ref="Q424:Q427"/>
    <mergeCell ref="N421:Q421"/>
    <mergeCell ref="D506:H506"/>
    <mergeCell ref="I506:M506"/>
    <mergeCell ref="N72:Q72"/>
    <mergeCell ref="O75:O79"/>
    <mergeCell ref="Q75:Q79"/>
    <mergeCell ref="N116:Q116"/>
    <mergeCell ref="O30:S31"/>
    <mergeCell ref="I83:M83"/>
    <mergeCell ref="I94:M94"/>
    <mergeCell ref="Q182:Q185"/>
    <mergeCell ref="Q86:Q90"/>
    <mergeCell ref="N94:Q94"/>
    <mergeCell ref="N83:Q83"/>
    <mergeCell ref="O86:O90"/>
    <mergeCell ref="O97:O101"/>
    <mergeCell ref="Q97:Q101"/>
    <mergeCell ref="I73:J73"/>
    <mergeCell ref="I72:M72"/>
    <mergeCell ref="O47:Q48"/>
    <mergeCell ref="R47:S48"/>
    <mergeCell ref="O49:Q51"/>
    <mergeCell ref="R49:S51"/>
    <mergeCell ref="N139:Q139"/>
    <mergeCell ref="N159:Q159"/>
  </mergeCells>
  <phoneticPr fontId="12" type="noConversion"/>
  <conditionalFormatting sqref="D75:D79">
    <cfRule type="expression" dxfId="180" priority="96">
      <formula>$W$71=0</formula>
    </cfRule>
  </conditionalFormatting>
  <conditionalFormatting sqref="D86:D90">
    <cfRule type="expression" dxfId="179" priority="831">
      <formula>$W$82=0</formula>
    </cfRule>
  </conditionalFormatting>
  <conditionalFormatting sqref="D97:D101">
    <cfRule type="expression" dxfId="178" priority="333">
      <formula>$W$93=0</formula>
    </cfRule>
  </conditionalFormatting>
  <conditionalFormatting sqref="D108:D112">
    <cfRule type="expression" dxfId="177" priority="321">
      <formula>$W$104=0</formula>
    </cfRule>
  </conditionalFormatting>
  <conditionalFormatting sqref="D119:D123">
    <cfRule type="expression" dxfId="176" priority="311">
      <formula>$W$115=0</formula>
    </cfRule>
  </conditionalFormatting>
  <conditionalFormatting sqref="D142:D145">
    <cfRule type="expression" dxfId="175" priority="91">
      <formula>$W$138=0</formula>
    </cfRule>
  </conditionalFormatting>
  <conditionalFormatting sqref="D152:D155">
    <cfRule type="expression" dxfId="174" priority="209">
      <formula>$W$148=0</formula>
    </cfRule>
  </conditionalFormatting>
  <conditionalFormatting sqref="D162:D165">
    <cfRule type="expression" dxfId="173" priority="202">
      <formula>$W$158=0</formula>
    </cfRule>
  </conditionalFormatting>
  <conditionalFormatting sqref="D172:D175">
    <cfRule type="expression" dxfId="172" priority="200">
      <formula>$W$168=0</formula>
    </cfRule>
  </conditionalFormatting>
  <conditionalFormatting sqref="D182:D185">
    <cfRule type="expression" dxfId="171" priority="194">
      <formula>$W$178=0</formula>
    </cfRule>
  </conditionalFormatting>
  <conditionalFormatting sqref="D202:D205">
    <cfRule type="expression" dxfId="170" priority="86">
      <formula>$W$198=0</formula>
    </cfRule>
  </conditionalFormatting>
  <conditionalFormatting sqref="D212:D215">
    <cfRule type="expression" dxfId="169" priority="190">
      <formula>$W$208=0</formula>
    </cfRule>
  </conditionalFormatting>
  <conditionalFormatting sqref="D222:D225">
    <cfRule type="expression" dxfId="168" priority="176">
      <formula>$W$218=0</formula>
    </cfRule>
  </conditionalFormatting>
  <conditionalFormatting sqref="D232:D235">
    <cfRule type="expression" dxfId="167" priority="172">
      <formula>$W$228=0</formula>
    </cfRule>
  </conditionalFormatting>
  <conditionalFormatting sqref="D242:D245">
    <cfRule type="expression" dxfId="166" priority="168">
      <formula>$W$238=0</formula>
    </cfRule>
  </conditionalFormatting>
  <conditionalFormatting sqref="D344:D347">
    <cfRule type="expression" dxfId="165" priority="431">
      <formula>$W$340=0</formula>
    </cfRule>
  </conditionalFormatting>
  <conditionalFormatting sqref="D354:D357">
    <cfRule type="expression" dxfId="164" priority="186">
      <formula>$W$350=0</formula>
    </cfRule>
  </conditionalFormatting>
  <conditionalFormatting sqref="D364:D367">
    <cfRule type="expression" dxfId="163" priority="164">
      <formula>$W$360=0</formula>
    </cfRule>
  </conditionalFormatting>
  <conditionalFormatting sqref="D374:D377">
    <cfRule type="expression" dxfId="162" priority="160">
      <formula>$W$370=0</formula>
    </cfRule>
  </conditionalFormatting>
  <conditionalFormatting sqref="D384:D387">
    <cfRule type="expression" dxfId="161" priority="156">
      <formula>$W$380=0</formula>
    </cfRule>
  </conditionalFormatting>
  <conditionalFormatting sqref="D404:D407">
    <cfRule type="expression" dxfId="160" priority="83">
      <formula>$W$400=0</formula>
    </cfRule>
  </conditionalFormatting>
  <conditionalFormatting sqref="D414:D417">
    <cfRule type="expression" dxfId="159" priority="182">
      <formula>$W$410=0</formula>
    </cfRule>
  </conditionalFormatting>
  <conditionalFormatting sqref="D424:D427">
    <cfRule type="expression" dxfId="158" priority="152">
      <formula>$W$420=0</formula>
    </cfRule>
  </conditionalFormatting>
  <conditionalFormatting sqref="D434:D437">
    <cfRule type="expression" dxfId="157" priority="146">
      <formula>$W$430=0</formula>
    </cfRule>
  </conditionalFormatting>
  <conditionalFormatting sqref="D444:D447">
    <cfRule type="expression" dxfId="156" priority="144">
      <formula>$W$440=0</formula>
    </cfRule>
  </conditionalFormatting>
  <conditionalFormatting sqref="D465:D469">
    <cfRule type="expression" dxfId="155" priority="404">
      <formula>$E$464="Nej"</formula>
    </cfRule>
  </conditionalFormatting>
  <conditionalFormatting sqref="D476:D479">
    <cfRule type="expression" dxfId="154" priority="389">
      <formula>$E$475="Nej"</formula>
    </cfRule>
  </conditionalFormatting>
  <conditionalFormatting sqref="D486:D489">
    <cfRule type="expression" dxfId="153" priority="364">
      <formula>$E$485="Nej"</formula>
    </cfRule>
  </conditionalFormatting>
  <conditionalFormatting sqref="D85:E85">
    <cfRule type="expression" dxfId="152" priority="347">
      <formula>$E$74="Ja"</formula>
    </cfRule>
  </conditionalFormatting>
  <conditionalFormatting sqref="D96:E96">
    <cfRule type="expression" dxfId="151" priority="339">
      <formula>$E$74="Ja"</formula>
    </cfRule>
  </conditionalFormatting>
  <conditionalFormatting sqref="D107:E107">
    <cfRule type="expression" dxfId="150" priority="61">
      <formula>$E$74="Ja"</formula>
    </cfRule>
  </conditionalFormatting>
  <conditionalFormatting sqref="D118:E118">
    <cfRule type="expression" dxfId="149" priority="60">
      <formula>$E$74="Ja"</formula>
    </cfRule>
  </conditionalFormatting>
  <conditionalFormatting sqref="D151:E151">
    <cfRule type="expression" dxfId="148" priority="310">
      <formula>$E$74="Ja"</formula>
    </cfRule>
  </conditionalFormatting>
  <conditionalFormatting sqref="D161:E161">
    <cfRule type="expression" dxfId="147" priority="55">
      <formula>$E$74="Ja"</formula>
    </cfRule>
  </conditionalFormatting>
  <conditionalFormatting sqref="D171:E171">
    <cfRule type="expression" dxfId="146" priority="52">
      <formula>$E$74="Ja"</formula>
    </cfRule>
  </conditionalFormatting>
  <conditionalFormatting sqref="D181:E181">
    <cfRule type="expression" dxfId="145" priority="51">
      <formula>$E$74="Ja"</formula>
    </cfRule>
  </conditionalFormatting>
  <conditionalFormatting sqref="D211:E211">
    <cfRule type="expression" dxfId="144" priority="294">
      <formula>$E$74="Ja"</formula>
    </cfRule>
  </conditionalFormatting>
  <conditionalFormatting sqref="D221:E221">
    <cfRule type="expression" dxfId="143" priority="47">
      <formula>$E$74="Ja"</formula>
    </cfRule>
  </conditionalFormatting>
  <conditionalFormatting sqref="D231:E231">
    <cfRule type="expression" dxfId="142" priority="46">
      <formula>$E$74="Ja"</formula>
    </cfRule>
  </conditionalFormatting>
  <conditionalFormatting sqref="D241:E241">
    <cfRule type="expression" dxfId="141" priority="43">
      <formula>$E$74="Ja"</formula>
    </cfRule>
  </conditionalFormatting>
  <conditionalFormatting sqref="D262:E263">
    <cfRule type="expression" dxfId="140" priority="112">
      <formula>$W$258=0</formula>
    </cfRule>
  </conditionalFormatting>
  <conditionalFormatting sqref="D353:E353">
    <cfRule type="expression" dxfId="139" priority="275">
      <formula>$E$74="Ja"</formula>
    </cfRule>
  </conditionalFormatting>
  <conditionalFormatting sqref="D363:E363">
    <cfRule type="expression" dxfId="138" priority="40">
      <formula>$E$74="Ja"</formula>
    </cfRule>
  </conditionalFormatting>
  <conditionalFormatting sqref="D373:E373">
    <cfRule type="expression" dxfId="137" priority="39">
      <formula>$E$74="Ja"</formula>
    </cfRule>
  </conditionalFormatting>
  <conditionalFormatting sqref="D383:E383">
    <cfRule type="expression" dxfId="136" priority="36">
      <formula>$E$74="Ja"</formula>
    </cfRule>
  </conditionalFormatting>
  <conditionalFormatting sqref="D413:E413">
    <cfRule type="expression" dxfId="135" priority="249">
      <formula>$E$74="Ja"</formula>
    </cfRule>
  </conditionalFormatting>
  <conditionalFormatting sqref="D423:E423">
    <cfRule type="expression" dxfId="134" priority="34">
      <formula>$E$74="Ja"</formula>
    </cfRule>
  </conditionalFormatting>
  <conditionalFormatting sqref="D433:E433">
    <cfRule type="expression" dxfId="133" priority="31">
      <formula>$E$74="Ja"</formula>
    </cfRule>
  </conditionalFormatting>
  <conditionalFormatting sqref="D443:E443">
    <cfRule type="expression" dxfId="132" priority="30">
      <formula>$E$74="Ja"</formula>
    </cfRule>
  </conditionalFormatting>
  <conditionalFormatting sqref="D509:E509">
    <cfRule type="expression" dxfId="131" priority="4">
      <formula>$E$43="Nej"</formula>
    </cfRule>
  </conditionalFormatting>
  <conditionalFormatting sqref="E39">
    <cfRule type="expression" dxfId="130" priority="77">
      <formula>$F$39="Nej"</formula>
    </cfRule>
    <cfRule type="expression" dxfId="129" priority="79">
      <formula>$F$39="Nej"</formula>
    </cfRule>
  </conditionalFormatting>
  <conditionalFormatting sqref="E40">
    <cfRule type="expression" dxfId="128" priority="76">
      <formula>$F$40="Nej"</formula>
    </cfRule>
    <cfRule type="expression" dxfId="127" priority="78">
      <formula>$F$40="Nej"</formula>
    </cfRule>
  </conditionalFormatting>
  <conditionalFormatting sqref="E44:E45">
    <cfRule type="expression" dxfId="126" priority="20">
      <formula>$E$43="Nej"</formula>
    </cfRule>
  </conditionalFormatting>
  <conditionalFormatting sqref="E75:E79">
    <cfRule type="expression" dxfId="125" priority="97">
      <formula>$W$71=1</formula>
    </cfRule>
  </conditionalFormatting>
  <conditionalFormatting sqref="E86:E90">
    <cfRule type="expression" dxfId="124" priority="828">
      <formula>$W$82=1</formula>
    </cfRule>
  </conditionalFormatting>
  <conditionalFormatting sqref="E97:E101">
    <cfRule type="expression" dxfId="123" priority="332">
      <formula>$W$93=1</formula>
    </cfRule>
  </conditionalFormatting>
  <conditionalFormatting sqref="E108:E112">
    <cfRule type="expression" dxfId="122" priority="322">
      <formula>$W$104=1</formula>
    </cfRule>
  </conditionalFormatting>
  <conditionalFormatting sqref="E119:E123">
    <cfRule type="expression" dxfId="121" priority="312">
      <formula>$W$115=1</formula>
    </cfRule>
  </conditionalFormatting>
  <conditionalFormatting sqref="E142:E145">
    <cfRule type="expression" dxfId="120" priority="90">
      <formula>$W$138=1</formula>
    </cfRule>
  </conditionalFormatting>
  <conditionalFormatting sqref="E152:E155">
    <cfRule type="expression" dxfId="119" priority="205">
      <formula>$W$148=1</formula>
    </cfRule>
  </conditionalFormatting>
  <conditionalFormatting sqref="E162:E165">
    <cfRule type="expression" dxfId="118" priority="201">
      <formula>$W$158=1</formula>
    </cfRule>
  </conditionalFormatting>
  <conditionalFormatting sqref="E172:E175">
    <cfRule type="expression" dxfId="117" priority="199">
      <formula>$W$168=1</formula>
    </cfRule>
  </conditionalFormatting>
  <conditionalFormatting sqref="E182:E185">
    <cfRule type="expression" dxfId="116" priority="193">
      <formula>$W$178=1</formula>
    </cfRule>
  </conditionalFormatting>
  <conditionalFormatting sqref="E202:E205">
    <cfRule type="expression" dxfId="115" priority="87">
      <formula>$W$198=1</formula>
    </cfRule>
  </conditionalFormatting>
  <conditionalFormatting sqref="E212:E215">
    <cfRule type="expression" dxfId="114" priority="189">
      <formula>$W$208=1</formula>
    </cfRule>
  </conditionalFormatting>
  <conditionalFormatting sqref="E222:E225">
    <cfRule type="expression" dxfId="113" priority="177">
      <formula>$W$218=1</formula>
    </cfRule>
  </conditionalFormatting>
  <conditionalFormatting sqref="E232:E235">
    <cfRule type="expression" dxfId="112" priority="173">
      <formula>$W$228=1</formula>
    </cfRule>
  </conditionalFormatting>
  <conditionalFormatting sqref="E242:E245">
    <cfRule type="expression" dxfId="111" priority="169">
      <formula>$W$238=1</formula>
    </cfRule>
  </conditionalFormatting>
  <conditionalFormatting sqref="E344:E347">
    <cfRule type="expression" dxfId="110" priority="362">
      <formula>$W$340=1</formula>
    </cfRule>
  </conditionalFormatting>
  <conditionalFormatting sqref="E354:E357">
    <cfRule type="expression" dxfId="109" priority="185">
      <formula>$W$350=1</formula>
    </cfRule>
  </conditionalFormatting>
  <conditionalFormatting sqref="E364:E367">
    <cfRule type="expression" dxfId="108" priority="165">
      <formula>$W$360=1</formula>
    </cfRule>
  </conditionalFormatting>
  <conditionalFormatting sqref="E374:E377">
    <cfRule type="expression" dxfId="107" priority="161">
      <formula>$W$370=1</formula>
    </cfRule>
  </conditionalFormatting>
  <conditionalFormatting sqref="E384:E387">
    <cfRule type="expression" dxfId="106" priority="157">
      <formula>$W$380=1</formula>
    </cfRule>
  </conditionalFormatting>
  <conditionalFormatting sqref="E404:E407">
    <cfRule type="expression" dxfId="105" priority="84">
      <formula>$W$400=1</formula>
    </cfRule>
  </conditionalFormatting>
  <conditionalFormatting sqref="E414:E417">
    <cfRule type="expression" dxfId="104" priority="181">
      <formula>$W$410=1</formula>
    </cfRule>
  </conditionalFormatting>
  <conditionalFormatting sqref="E424:E427">
    <cfRule type="expression" dxfId="103" priority="153">
      <formula>$W$420=1</formula>
    </cfRule>
  </conditionalFormatting>
  <conditionalFormatting sqref="E434:E437">
    <cfRule type="expression" dxfId="102" priority="147">
      <formula>$W$430=1</formula>
    </cfRule>
  </conditionalFormatting>
  <conditionalFormatting sqref="E444:E447">
    <cfRule type="expression" dxfId="101" priority="145">
      <formula>$W$440=1</formula>
    </cfRule>
  </conditionalFormatting>
  <conditionalFormatting sqref="E465:E469">
    <cfRule type="expression" dxfId="100" priority="405">
      <formula>$E$464="Ja"</formula>
    </cfRule>
  </conditionalFormatting>
  <conditionalFormatting sqref="E476:E479">
    <cfRule type="expression" dxfId="99" priority="68">
      <formula>$E$475="Ja"</formula>
    </cfRule>
  </conditionalFormatting>
  <conditionalFormatting sqref="E486:E489">
    <cfRule type="expression" dxfId="98" priority="363">
      <formula>$E$485="Ja"</formula>
    </cfRule>
  </conditionalFormatting>
  <conditionalFormatting sqref="E49:F50">
    <cfRule type="expression" dxfId="97" priority="7">
      <formula>$E$48="Nej"</formula>
    </cfRule>
  </conditionalFormatting>
  <conditionalFormatting sqref="F49">
    <cfRule type="expression" dxfId="96" priority="5">
      <formula>$E$48="Ja"</formula>
    </cfRule>
  </conditionalFormatting>
  <conditionalFormatting sqref="F262:G262">
    <cfRule type="expression" dxfId="95" priority="85">
      <formula>$W$258=1</formula>
    </cfRule>
  </conditionalFormatting>
  <conditionalFormatting sqref="F509:G509">
    <cfRule type="expression" dxfId="94" priority="2">
      <formula>$E$43="Ja"</formula>
    </cfRule>
  </conditionalFormatting>
  <conditionalFormatting sqref="I75:I79">
    <cfRule type="expression" dxfId="93" priority="95">
      <formula>$X$71=0</formula>
    </cfRule>
  </conditionalFormatting>
  <conditionalFormatting sqref="I86:I90">
    <cfRule type="expression" dxfId="92" priority="830">
      <formula>$X$82=0</formula>
    </cfRule>
  </conditionalFormatting>
  <conditionalFormatting sqref="I97:I101">
    <cfRule type="expression" dxfId="91" priority="334">
      <formula>$X$93=0</formula>
    </cfRule>
  </conditionalFormatting>
  <conditionalFormatting sqref="I108:I112">
    <cfRule type="expression" dxfId="90" priority="323">
      <formula>$X$104=0</formula>
    </cfRule>
  </conditionalFormatting>
  <conditionalFormatting sqref="I119:I123">
    <cfRule type="expression" dxfId="89" priority="313">
      <formula>$X$115=0</formula>
    </cfRule>
  </conditionalFormatting>
  <conditionalFormatting sqref="I142:I145">
    <cfRule type="expression" dxfId="88" priority="93">
      <formula>$X$138=0</formula>
    </cfRule>
  </conditionalFormatting>
  <conditionalFormatting sqref="I152:I155">
    <cfRule type="expression" dxfId="87" priority="210">
      <formula>$X$148=0</formula>
    </cfRule>
  </conditionalFormatting>
  <conditionalFormatting sqref="I162:I165">
    <cfRule type="expression" dxfId="86" priority="204">
      <formula>$X$158=0</formula>
    </cfRule>
  </conditionalFormatting>
  <conditionalFormatting sqref="I172:I175">
    <cfRule type="expression" dxfId="85" priority="198">
      <formula>$X$168=0</formula>
    </cfRule>
  </conditionalFormatting>
  <conditionalFormatting sqref="I182:I185">
    <cfRule type="expression" dxfId="84" priority="195">
      <formula>$X$178=0</formula>
    </cfRule>
  </conditionalFormatting>
  <conditionalFormatting sqref="I202:I205">
    <cfRule type="expression" dxfId="83" priority="88">
      <formula>$X$198=0</formula>
    </cfRule>
  </conditionalFormatting>
  <conditionalFormatting sqref="I212:I215">
    <cfRule type="expression" dxfId="82" priority="192">
      <formula>$X$208=0</formula>
    </cfRule>
  </conditionalFormatting>
  <conditionalFormatting sqref="I222:I225">
    <cfRule type="expression" dxfId="81" priority="178">
      <formula>$X$218=0</formula>
    </cfRule>
  </conditionalFormatting>
  <conditionalFormatting sqref="I232:I235">
    <cfRule type="expression" dxfId="80" priority="174">
      <formula>$X$228=0</formula>
    </cfRule>
  </conditionalFormatting>
  <conditionalFormatting sqref="I242:I245">
    <cfRule type="expression" dxfId="79" priority="136">
      <formula>$X$238=0</formula>
    </cfRule>
  </conditionalFormatting>
  <conditionalFormatting sqref="I344:I347">
    <cfRule type="expression" dxfId="78" priority="106">
      <formula>$X$340=0</formula>
    </cfRule>
  </conditionalFormatting>
  <conditionalFormatting sqref="I354:I357">
    <cfRule type="expression" dxfId="77" priority="188">
      <formula>$X$350=0</formula>
    </cfRule>
  </conditionalFormatting>
  <conditionalFormatting sqref="I364:I367">
    <cfRule type="expression" dxfId="76" priority="166">
      <formula>$X$360=0</formula>
    </cfRule>
  </conditionalFormatting>
  <conditionalFormatting sqref="I374:I377">
    <cfRule type="expression" dxfId="75" priority="162">
      <formula>$X$370=0</formula>
    </cfRule>
  </conditionalFormatting>
  <conditionalFormatting sqref="I384:I387">
    <cfRule type="expression" dxfId="74" priority="159">
      <formula>$X$380=0</formula>
    </cfRule>
  </conditionalFormatting>
  <conditionalFormatting sqref="I404:I407">
    <cfRule type="expression" dxfId="73" priority="419">
      <formula>$X$400=0</formula>
    </cfRule>
  </conditionalFormatting>
  <conditionalFormatting sqref="I414:I417">
    <cfRule type="expression" dxfId="72" priority="184">
      <formula>$X$410=0</formula>
    </cfRule>
  </conditionalFormatting>
  <conditionalFormatting sqref="I424:I427">
    <cfRule type="expression" dxfId="71" priority="154">
      <formula>$X$420=0</formula>
    </cfRule>
  </conditionalFormatting>
  <conditionalFormatting sqref="I434:I437">
    <cfRule type="expression" dxfId="70" priority="150">
      <formula>$X$430=0</formula>
    </cfRule>
  </conditionalFormatting>
  <conditionalFormatting sqref="I444:I447">
    <cfRule type="expression" dxfId="69" priority="148">
      <formula>$X$440=0</formula>
    </cfRule>
  </conditionalFormatting>
  <conditionalFormatting sqref="I465:I469">
    <cfRule type="expression" dxfId="68" priority="103">
      <formula>$J$464="Nej"</formula>
    </cfRule>
  </conditionalFormatting>
  <conditionalFormatting sqref="I476:I479">
    <cfRule type="expression" dxfId="67" priority="387">
      <formula>$J$475="Nej"</formula>
    </cfRule>
  </conditionalFormatting>
  <conditionalFormatting sqref="I486:I489">
    <cfRule type="expression" dxfId="66" priority="366">
      <formula>$J$485="Nej"</formula>
    </cfRule>
  </conditionalFormatting>
  <conditionalFormatting sqref="I85:J85">
    <cfRule type="expression" dxfId="65" priority="345">
      <formula>$E$74="Ja"</formula>
    </cfRule>
  </conditionalFormatting>
  <conditionalFormatting sqref="I96:J96">
    <cfRule type="expression" dxfId="64" priority="57">
      <formula>$E$74="Ja"</formula>
    </cfRule>
  </conditionalFormatting>
  <conditionalFormatting sqref="I107:J107">
    <cfRule type="expression" dxfId="63" priority="58">
      <formula>$E$74="Ja"</formula>
    </cfRule>
  </conditionalFormatting>
  <conditionalFormatting sqref="I118:J118">
    <cfRule type="expression" dxfId="62" priority="59">
      <formula>$E$74="Ja"</formula>
    </cfRule>
  </conditionalFormatting>
  <conditionalFormatting sqref="I151:J151">
    <cfRule type="expression" dxfId="61" priority="56">
      <formula>$E$74="Ja"</formula>
    </cfRule>
  </conditionalFormatting>
  <conditionalFormatting sqref="I161:J161">
    <cfRule type="expression" dxfId="60" priority="54">
      <formula>$E$74="Ja"</formula>
    </cfRule>
  </conditionalFormatting>
  <conditionalFormatting sqref="I171:J171">
    <cfRule type="expression" dxfId="59" priority="53">
      <formula>$E$74="Ja"</formula>
    </cfRule>
  </conditionalFormatting>
  <conditionalFormatting sqref="I181:J181">
    <cfRule type="expression" dxfId="58" priority="50">
      <formula>$E$74="Ja"</formula>
    </cfRule>
  </conditionalFormatting>
  <conditionalFormatting sqref="I211:J211">
    <cfRule type="expression" dxfId="57" priority="49">
      <formula>$E$74="Ja"</formula>
    </cfRule>
  </conditionalFormatting>
  <conditionalFormatting sqref="I221:J221">
    <cfRule type="expression" dxfId="56" priority="48">
      <formula>$E$74="Ja"</formula>
    </cfRule>
  </conditionalFormatting>
  <conditionalFormatting sqref="I231:J231">
    <cfRule type="expression" dxfId="55" priority="45">
      <formula>$E$74="Ja"</formula>
    </cfRule>
  </conditionalFormatting>
  <conditionalFormatting sqref="I241:J241">
    <cfRule type="expression" dxfId="54" priority="44">
      <formula>$E$74="Ja"</formula>
    </cfRule>
  </conditionalFormatting>
  <conditionalFormatting sqref="I262:J263">
    <cfRule type="expression" dxfId="53" priority="107">
      <formula>$X$258=0</formula>
    </cfRule>
  </conditionalFormatting>
  <conditionalFormatting sqref="I353:J353">
    <cfRule type="expression" dxfId="52" priority="42">
      <formula>$E$74="Ja"</formula>
    </cfRule>
  </conditionalFormatting>
  <conditionalFormatting sqref="I363:J363">
    <cfRule type="expression" dxfId="51" priority="41">
      <formula>$E$74="Ja"</formula>
    </cfRule>
  </conditionalFormatting>
  <conditionalFormatting sqref="I373:J373">
    <cfRule type="expression" dxfId="50" priority="38">
      <formula>$E$74="Ja"</formula>
    </cfRule>
  </conditionalFormatting>
  <conditionalFormatting sqref="I383:J383">
    <cfRule type="expression" dxfId="49" priority="37">
      <formula>$E$74="Ja"</formula>
    </cfRule>
  </conditionalFormatting>
  <conditionalFormatting sqref="I413:J413">
    <cfRule type="expression" dxfId="48" priority="35">
      <formula>$E$74="Ja"</formula>
    </cfRule>
  </conditionalFormatting>
  <conditionalFormatting sqref="I423:J423">
    <cfRule type="expression" dxfId="47" priority="33">
      <formula>$E$74="Ja"</formula>
    </cfRule>
  </conditionalFormatting>
  <conditionalFormatting sqref="I433:J433">
    <cfRule type="expression" dxfId="46" priority="32">
      <formula>$E$74="Ja"</formula>
    </cfRule>
  </conditionalFormatting>
  <conditionalFormatting sqref="I443:J443">
    <cfRule type="expression" dxfId="45" priority="29">
      <formula>$E$74="Ja"</formula>
    </cfRule>
  </conditionalFormatting>
  <conditionalFormatting sqref="I509:J509">
    <cfRule type="expression" dxfId="44" priority="13">
      <formula>$E$43="Nej"</formula>
    </cfRule>
  </conditionalFormatting>
  <conditionalFormatting sqref="J75:J79">
    <cfRule type="expression" dxfId="43" priority="94">
      <formula>$X$71=1</formula>
    </cfRule>
  </conditionalFormatting>
  <conditionalFormatting sqref="J86:J90">
    <cfRule type="expression" dxfId="42" priority="341">
      <formula>$I$85=$D$82</formula>
    </cfRule>
  </conditionalFormatting>
  <conditionalFormatting sqref="J97:J101">
    <cfRule type="expression" dxfId="41" priority="335">
      <formula>$X$93=1</formula>
    </cfRule>
  </conditionalFormatting>
  <conditionalFormatting sqref="J108:J112">
    <cfRule type="expression" dxfId="40" priority="324">
      <formula>$X$104=1</formula>
    </cfRule>
  </conditionalFormatting>
  <conditionalFormatting sqref="J119:J123">
    <cfRule type="expression" dxfId="39" priority="314">
      <formula>$X$115=1</formula>
    </cfRule>
  </conditionalFormatting>
  <conditionalFormatting sqref="J142:J145">
    <cfRule type="expression" dxfId="38" priority="92">
      <formula>$X$138=1</formula>
    </cfRule>
  </conditionalFormatting>
  <conditionalFormatting sqref="J152:J155">
    <cfRule type="expression" dxfId="37" priority="143">
      <formula>$X$148=1</formula>
    </cfRule>
  </conditionalFormatting>
  <conditionalFormatting sqref="J162:J165">
    <cfRule type="expression" dxfId="36" priority="142">
      <formula>$X$158=1</formula>
    </cfRule>
  </conditionalFormatting>
  <conditionalFormatting sqref="J172:J175">
    <cfRule type="expression" dxfId="35" priority="141">
      <formula>$X$168=1</formula>
    </cfRule>
  </conditionalFormatting>
  <conditionalFormatting sqref="J182:J185">
    <cfRule type="expression" dxfId="34" priority="140">
      <formula>$X$178=1</formula>
    </cfRule>
  </conditionalFormatting>
  <conditionalFormatting sqref="J202:J205">
    <cfRule type="expression" dxfId="33" priority="89">
      <formula>$X$198=1</formula>
    </cfRule>
  </conditionalFormatting>
  <conditionalFormatting sqref="J212:J215">
    <cfRule type="expression" dxfId="32" priority="139">
      <formula>$X$208=1</formula>
    </cfRule>
  </conditionalFormatting>
  <conditionalFormatting sqref="J222:J225">
    <cfRule type="expression" dxfId="31" priority="138">
      <formula>$X$218=1</formula>
    </cfRule>
  </conditionalFormatting>
  <conditionalFormatting sqref="J232:J235">
    <cfRule type="expression" dxfId="30" priority="137">
      <formula>$X$228=1</formula>
    </cfRule>
  </conditionalFormatting>
  <conditionalFormatting sqref="J242:J245">
    <cfRule type="expression" dxfId="29" priority="135">
      <formula>$X$238=1</formula>
    </cfRule>
  </conditionalFormatting>
  <conditionalFormatting sqref="J344:J347">
    <cfRule type="expression" dxfId="28" priority="105">
      <formula>$X$340=1</formula>
    </cfRule>
  </conditionalFormatting>
  <conditionalFormatting sqref="J354:J357">
    <cfRule type="expression" dxfId="27" priority="187">
      <formula>$X$350=1</formula>
    </cfRule>
  </conditionalFormatting>
  <conditionalFormatting sqref="J364:J367">
    <cfRule type="expression" dxfId="26" priority="167">
      <formula>$X$360=1</formula>
    </cfRule>
  </conditionalFormatting>
  <conditionalFormatting sqref="J374:J377">
    <cfRule type="expression" dxfId="25" priority="163">
      <formula>$X$370=1</formula>
    </cfRule>
  </conditionalFormatting>
  <conditionalFormatting sqref="J384:J387">
    <cfRule type="expression" dxfId="24" priority="158">
      <formula>$X$380=1</formula>
    </cfRule>
  </conditionalFormatting>
  <conditionalFormatting sqref="J404:J407">
    <cfRule type="expression" dxfId="23" priority="247">
      <formula>$X$400=1</formula>
    </cfRule>
  </conditionalFormatting>
  <conditionalFormatting sqref="J414:J417">
    <cfRule type="expression" dxfId="22" priority="183">
      <formula>$X$410=1</formula>
    </cfRule>
  </conditionalFormatting>
  <conditionalFormatting sqref="J424:J427">
    <cfRule type="expression" dxfId="21" priority="155">
      <formula>$X$420=1</formula>
    </cfRule>
  </conditionalFormatting>
  <conditionalFormatting sqref="J434:J437">
    <cfRule type="expression" dxfId="20" priority="151">
      <formula>$X$430=1</formula>
    </cfRule>
  </conditionalFormatting>
  <conditionalFormatting sqref="J444:J447">
    <cfRule type="expression" dxfId="19" priority="149">
      <formula>$X$440=1</formula>
    </cfRule>
  </conditionalFormatting>
  <conditionalFormatting sqref="J465:J469">
    <cfRule type="expression" dxfId="18" priority="102">
      <formula>$J$464="Ja"</formula>
    </cfRule>
  </conditionalFormatting>
  <conditionalFormatting sqref="J476:J479">
    <cfRule type="expression" dxfId="17" priority="367">
      <formula>$J$475="Ja"</formula>
    </cfRule>
  </conditionalFormatting>
  <conditionalFormatting sqref="J486:J489">
    <cfRule type="expression" dxfId="16" priority="365">
      <formula>$J$485="Ja"</formula>
    </cfRule>
  </conditionalFormatting>
  <conditionalFormatting sqref="K262:L262">
    <cfRule type="expression" dxfId="15" priority="108">
      <formula>$X$258=1</formula>
    </cfRule>
  </conditionalFormatting>
  <conditionalFormatting sqref="K509:L509">
    <cfRule type="expression" dxfId="14" priority="1">
      <formula>$E$43="Ja"</formula>
    </cfRule>
  </conditionalFormatting>
  <conditionalFormatting sqref="P21 R21">
    <cfRule type="expression" dxfId="13" priority="835">
      <formula>$O$21="Energirammeberegning"</formula>
    </cfRule>
  </conditionalFormatting>
  <conditionalFormatting sqref="Q21 S21">
    <cfRule type="expression" dxfId="12" priority="837">
      <formula>$O$21="Nøgletal fra Bygningsreglement"</formula>
    </cfRule>
  </conditionalFormatting>
  <dataValidations count="16">
    <dataValidation type="list" allowBlank="1" showInputMessage="1" showErrorMessage="1" sqref="I21" xr:uid="{AD4FF64D-D1F0-41F6-AD47-AA77113B78FB}">
      <formula1>Antal_Etager_ddrop</formula1>
    </dataValidation>
    <dataValidation type="list" allowBlank="1" showInputMessage="1" showErrorMessage="1" sqref="K21" xr:uid="{548E609B-4574-45BF-9635-49919FB5629C}">
      <formula1>Tagform_ddown</formula1>
    </dataValidation>
    <dataValidation type="list" allowBlank="1" showInputMessage="1" showErrorMessage="1" sqref="F549" xr:uid="{F97B5A0E-25A0-4620-B0F6-E0780781E04F}">
      <formula1>Bygningstype_ddown</formula1>
    </dataValidation>
    <dataValidation type="list" allowBlank="1" showInputMessage="1" showErrorMessage="1" sqref="E48 E43" xr:uid="{84B66831-A802-48F6-9D8F-8B99CBF399B0}">
      <formula1>Er_der_kælder</formula1>
    </dataValidation>
    <dataValidation type="list" allowBlank="1" showInputMessage="1" showErrorMessage="1" sqref="N29 C26 D433 D443 E26 D85 D82 I85 I107 D96 D161 I118 D107 D118 D151 I96 I423 I161 I151 D171 D181 I171 D211 I181 I221 I211 D221 D231 I241 I231 D353 D241 I363 I353 D363 D373 I383 I373 D413 D383 D423 I413 I433 I443" xr:uid="{A2C7317B-B333-4DF1-976B-CE8ECD5E627D}">
      <formula1>Type_ddown</formula1>
    </dataValidation>
    <dataValidation type="list" allowBlank="1" showInputMessage="1" showErrorMessage="1" sqref="J464 E464 J485 E485 J475 E475 F39:F40 C263 N21" xr:uid="{A881482F-98F5-4276-B800-F95C6C21486E}">
      <formula1>Ja_Nej_ddown</formula1>
    </dataValidation>
    <dataValidation type="list" allowBlank="1" showInputMessage="1" showErrorMessage="1" sqref="C72 C28:C33 E28:E33" xr:uid="{A3002878-17B1-4E9A-943C-D580B936A1D6}">
      <formula1>Benyt_Standard_ddown</formula1>
    </dataValidation>
    <dataValidation type="list" allowBlank="1" showInputMessage="1" showErrorMessage="1" sqref="G21" xr:uid="{787EE83E-099B-4905-8AB4-E24F8CF8E93F}">
      <formula1>År_for_byggetilladelse_ddown</formula1>
    </dataValidation>
    <dataValidation type="list" allowBlank="1" showInputMessage="1" showErrorMessage="1" sqref="I262:J263 D262:E263" xr:uid="{D940E660-932C-443C-BF8A-3FE7E3DF3F48}">
      <formula1>A_Fundament_ddown</formula1>
    </dataValidation>
    <dataValidation type="list" allowBlank="1" showInputMessage="1" showErrorMessage="1" sqref="E37 C37 I509 D509" xr:uid="{E939AF4E-1546-4CD3-81BB-D862C32EE4C1}">
      <formula1>Solceller_ddown</formula1>
    </dataValidation>
    <dataValidation type="list" allowBlank="1" showInputMessage="1" showErrorMessage="1" sqref="F513 K513" xr:uid="{29CC1785-BC8C-4203-95EE-6A35F2195FF3}">
      <formula1>Solcelle_vinkel_ddown</formula1>
    </dataValidation>
    <dataValidation type="list" allowBlank="1" showInputMessage="1" showErrorMessage="1" sqref="K512 F512" xr:uid="{F9FEFA93-52EA-4B12-A1CD-CF7CD5F22CA2}">
      <formula1>Solceller_orientering_ddown</formula1>
    </dataValidation>
    <dataValidation type="list" allowBlank="1" showInputMessage="1" showErrorMessage="1" sqref="E515 J515" xr:uid="{5B2186A7-7E7D-461F-9996-2F317A662078}">
      <formula1>Solceller_placering_ddown</formula1>
    </dataValidation>
    <dataValidation type="list" allowBlank="1" showInputMessage="1" showErrorMessage="1" sqref="C84 C150 C160 C170 C180 C210 C220 C230 C240 C352 C362 C372 C382 C412 C422 C432 C442 C295 C313 C304 C322 L21 F49 C106 C95 C117" xr:uid="{FAD47BCC-6BE8-4292-ACC7-A9D93E314933}">
      <formula1>A_Procent_Yder1</formula1>
    </dataValidation>
    <dataValidation allowBlank="1" showErrorMessage="1" promptTitle="Vælg fra liste" prompt="Vælg" sqref="X11" xr:uid="{055A8BA4-FA13-46F4-926E-FE4C5640F333}"/>
    <dataValidation type="list" allowBlank="1" showErrorMessage="1" promptTitle="Vælg fra liste" prompt="Vælg" sqref="H21" xr:uid="{A71E6310-A676-40F2-AAA7-590C5C7E7952}">
      <formula1>VÆLG_TYPEN</formula1>
    </dataValidation>
  </dataValidations>
  <pageMargins left="0.7" right="0.7" top="0.75" bottom="0.75" header="0.3" footer="0.3"/>
  <pageSetup paperSize="9" scale="38"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iconSet" priority="832" id="{F2281022-EB7C-4551-9BB3-BE4DB9744420}">
            <x14:iconSet custom="1">
              <x14:cfvo type="percent">
                <xm:f>0</xm:f>
              </x14:cfvo>
              <x14:cfvo type="num">
                <xm:f>$BL$52</xm:f>
              </x14:cfvo>
              <x14:cfvo type="num">
                <xm:f>$BL$51</xm:f>
              </x14:cfvo>
              <x14:cfIcon iconSet="3Symbols" iconId="2"/>
              <x14:cfIcon iconSet="3Symbols" iconId="1"/>
              <x14:cfIcon iconSet="3Symbols" iconId="0"/>
            </x14:iconSet>
          </x14:cfRule>
          <xm:sqref>O26 R26</xm:sqref>
        </x14:conditionalFormatting>
      </x14:conditionalFormattings>
    </ext>
    <ext xmlns:x14="http://schemas.microsoft.com/office/spreadsheetml/2009/9/main" uri="{CCE6A557-97BC-4b89-ADB6-D9C93CAAB3DF}">
      <x14:dataValidations xmlns:xm="http://schemas.microsoft.com/office/excel/2006/main" count="23">
        <x14:dataValidation type="list" allowBlank="1" showInputMessage="1" showErrorMessage="1" xr:uid="{CC584561-CD36-4922-8E28-EFBDB7008BD3}">
          <x14:formula1>
            <xm:f>Dropdown!$E$2:$E$7</xm:f>
          </x14:formula1>
          <xm:sqref>CQ77 AS15:AS16</xm:sqref>
        </x14:dataValidation>
        <x14:dataValidation type="list" allowBlank="1" showInputMessage="1" showErrorMessage="1" xr:uid="{2310E85B-BBC3-47D3-BC6C-8A1341767329}">
          <x14:formula1>
            <xm:f>'LCA data'!$O$178:$O$185</xm:f>
          </x14:formula1>
          <xm:sqref>F369</xm:sqref>
        </x14:dataValidation>
        <x14:dataValidation type="list" allowBlank="1" showInputMessage="1" showErrorMessage="1" xr:uid="{2F387AC9-BD4C-4CBD-8196-FAEFE36F17DA}">
          <x14:formula1>
            <xm:f>Dropdown!$L$2:$L$10</xm:f>
          </x14:formula1>
          <xm:sqref>AS52:AS63</xm:sqref>
        </x14:dataValidation>
        <x14:dataValidation type="list" allowBlank="1" showInputMessage="1" showErrorMessage="1" xr:uid="{F78810A3-CD2E-47D3-A597-BABD7CC4E18F}">
          <x14:formula1>
            <xm:f>'LCA data'!$W$52:$W$64</xm:f>
          </x14:formula1>
          <xm:sqref>D78 I89 D122 I468 D111 I111 D100 D89 I100 I78 D468 I122</xm:sqref>
        </x14:dataValidation>
        <x14:dataValidation type="list" allowBlank="1" showInputMessage="1" showErrorMessage="1" xr:uid="{46C67C8F-13C2-4E66-8ADD-5741D8402063}">
          <x14:formula1>
            <xm:f>'LCA data'!$W$94:$W$104</xm:f>
          </x14:formula1>
          <xm:sqref>I184 D184 D144 I164 I154 D164 I174 I144 D174 D154</xm:sqref>
        </x14:dataValidation>
        <x14:dataValidation type="list" allowBlank="1" showInputMessage="1" showErrorMessage="1" xr:uid="{99804501-9840-427F-8170-B66C77CAD66A}">
          <x14:formula1>
            <xm:f>'LCA data'!$W$106:$W$118</xm:f>
          </x14:formula1>
          <xm:sqref>I437 D437 I447 D155 I175 I185 D185 D145 E156 D417 D427 I155 I407 I165 I145 D175 D165 I417 I427 D407 D489 I489 J448 E448 D447</xm:sqref>
        </x14:dataValidation>
        <x14:dataValidation type="list" allowBlank="1" showInputMessage="1" showErrorMessage="1" xr:uid="{C1DBEC97-E561-4085-984F-E49D40DB69B5}">
          <x14:formula1>
            <xm:f>'LCA data'!$W$120:$W$128</xm:f>
          </x14:formula1>
          <xm:sqref>D204 I234 D234 I224 I204 I214 D224 D244 D214 I244</xm:sqref>
        </x14:dataValidation>
        <x14:dataValidation type="list" allowBlank="1" showInputMessage="1" showErrorMessage="1" xr:uid="{AE695DE9-E38B-46A3-AD24-9E81BD3D6799}">
          <x14:formula1>
            <xm:f>'LCA data'!$W$130:$W$137</xm:f>
          </x14:formula1>
          <xm:sqref>D205 D235 D225 I205 D245 I215 D215 I225 I235 I245</xm:sqref>
        </x14:dataValidation>
        <x14:dataValidation type="list" allowBlank="1" showInputMessage="1" showErrorMessage="1" xr:uid="{2ABEA0FE-4687-44A4-982F-6464F6819096}">
          <x14:formula1>
            <xm:f>'LCA data'!$W$150:$W$166</xm:f>
          </x14:formula1>
          <xm:sqref>D486 D444 D242:E242 I232 D222:E222 I212 I404 D404 E233:E235 E223:E225 E213:E215 D212:E212 D424 I434 I486 I424 I242 E243:E245 I222 I414 D414 I202 D232:E232 D202 I444 D434</xm:sqref>
        </x14:dataValidation>
        <x14:dataValidation type="list" allowBlank="1" showInputMessage="1" showErrorMessage="1" xr:uid="{A8E8F451-BAB6-4F78-8DAF-7650E711DC51}">
          <x14:formula1>
            <xm:f>'LCA data'!$W$177:$W$185</xm:f>
          </x14:formula1>
          <xm:sqref>G306 G324 L324 G315 L306 G297 L297 L315 E35 C35</xm:sqref>
        </x14:dataValidation>
        <x14:dataValidation type="list" allowBlank="1" showInputMessage="1" showErrorMessage="1" xr:uid="{F72A042B-3E8A-4D64-B974-CE32AEA676AF}">
          <x14:formula1>
            <xm:f>'LCA data'!$W$139:$W$148</xm:f>
          </x14:formula1>
          <xm:sqref>D488 D446 I406 D406 I436 I426 D416 D426 I488 I416 D436 I446</xm:sqref>
        </x14:dataValidation>
        <x14:dataValidation type="list" allowBlank="1" showInputMessage="1" showErrorMessage="1" xr:uid="{C38FAB57-870E-4BFC-B20E-F09E94F4B065}">
          <x14:formula1>
            <xm:f>'LCA data'!$W$106:$W$119</xm:f>
          </x14:formula1>
          <xm:sqref>J156</xm:sqref>
        </x14:dataValidation>
        <x14:dataValidation type="list" allowBlank="1" showInputMessage="1" showErrorMessage="1" xr:uid="{D62EC1E6-D93B-48B0-A4A7-E767882BB68A}">
          <x14:formula1>
            <xm:f>'LCA data'!$W$78:$W$92</xm:f>
          </x14:formula1>
          <xm:sqref>I182 D152 D172 I142 I172 D162 D182 D142 I162 I152</xm:sqref>
        </x14:dataValidation>
        <x14:dataValidation type="list" allowBlank="1" showInputMessage="1" showErrorMessage="1" xr:uid="{79CEC7C2-722E-41FD-A4E9-773B2A2002E9}">
          <x14:formula1>
            <xm:f>'LCA data'!$W$8:$W$24</xm:f>
          </x14:formula1>
          <xm:sqref>I86 D75 D119 I108 D97 I465 D108 I97 D86 I75 D465 I119</xm:sqref>
        </x14:dataValidation>
        <x14:dataValidation type="list" allowBlank="1" showInputMessage="1" showErrorMessage="1" xr:uid="{42D9A3FE-922B-4416-9834-EEBF848F0ADB}">
          <x14:formula1>
            <xm:f>Dropdown!$R$19:$R$20</xm:f>
          </x14:formula1>
          <xm:sqref>O21</xm:sqref>
        </x14:dataValidation>
        <x14:dataValidation type="list" allowBlank="1" showInputMessage="1" showErrorMessage="1" xr:uid="{99FF88D0-E099-44B1-B546-7E9D0BA1F460}">
          <x14:formula1>
            <xm:f>'LCA data'!$W$67:$W$77</xm:f>
          </x14:formula1>
          <xm:sqref>E348:E349 J471 E480 J480 E471 J388:J389 J348:J349 E368 J378:J379 E358 E388:E389 J358 E451:E452 J451:J452 E378:E379 E438:E439 J368</xm:sqref>
        </x14:dataValidation>
        <x14:dataValidation type="list" allowBlank="1" showInputMessage="1" showErrorMessage="1" xr:uid="{A84CD5E6-D87E-48B4-9602-A3D90C649401}">
          <x14:formula1>
            <xm:f>'LCA data'!$W$66:$W$76</xm:f>
          </x14:formula1>
          <xm:sqref>D79 I384 I387 I344 I479 D479 J470 I469 E470 I79 D384 D387 I354 D344 D112 D476 I347 I476 D347 D364 I364 D123 I357 D357 I123 I90 D354 I367 D367 D469 I101 D90 D101 I112 D374 D377 I374 I377</xm:sqref>
        </x14:dataValidation>
        <x14:dataValidation type="list" allowBlank="1" showInputMessage="1" showErrorMessage="1" xr:uid="{7D6D6E03-910C-4188-B141-DEA4387367BB}">
          <x14:formula1>
            <xm:f>'LCA data'!$W$25:$W$31</xm:f>
          </x14:formula1>
          <xm:sqref>D76 I120 D466 I76 D120 I466 D109 I109 D98 D87 I98 I87</xm:sqref>
        </x14:dataValidation>
        <x14:dataValidation type="list" allowBlank="1" showInputMessage="1" showErrorMessage="1" xr:uid="{82337F5F-38E3-4654-A545-98907204CFC2}">
          <x14:formula1>
            <xm:f>'LCA data'!$W$168:$W$175</xm:f>
          </x14:formula1>
          <xm:sqref>I306 I324 D324 I315 D306 I297 E34 D297 C34 D315</xm:sqref>
        </x14:dataValidation>
        <x14:dataValidation type="list" allowBlank="1" showInputMessage="1" showErrorMessage="1" xr:uid="{1FFCBA04-E47D-40D6-8F9D-0F2C6FED151E}">
          <x14:formula1>
            <xm:f>'LCA data'!$W$201:$W$214</xm:f>
          </x14:formula1>
          <xm:sqref>D366 I386 I478 D386 I376 D376 D478 D346 I366 D356 I346 I356</xm:sqref>
        </x14:dataValidation>
        <x14:dataValidation type="list" allowBlank="1" showInputMessage="1" showErrorMessage="1" xr:uid="{C0A43EB5-A324-40F0-AE9A-A1D89BB3E054}">
          <x14:formula1>
            <xm:f>Dropdown!$A$14:$A$16</xm:f>
          </x14:formula1>
          <xm:sqref>M21</xm:sqref>
        </x14:dataValidation>
        <x14:dataValidation type="list" allowBlank="1" showInputMessage="1" showErrorMessage="1" xr:uid="{7BF0770A-8806-4A0C-A655-09D3F6CF94A6}">
          <x14:formula1>
            <xm:f>'LCA data'!$W$34:$W$52</xm:f>
          </x14:formula1>
          <xm:sqref>I243 D435 I445 D415 I425 D203 D243 I405 I203 D223 D233 I233 I213 D213 I223 I435 D425 I487 I415 D405 D487 D445</xm:sqref>
        </x14:dataValidation>
        <x14:dataValidation type="list" allowBlank="1" showInputMessage="1" showErrorMessage="1" xr:uid="{73780D79-7660-4E6F-8687-0E091C22DBBD}">
          <x14:formula1>
            <xm:f>'LCA data'!$W$33:$W$51</xm:f>
          </x14:formula1>
          <xm:sqref>D77 D375 I375 D355 D365 D183 I365 I183 D345 I143 I355 D173 D153 D163 I121 I88 I477 I153 I173 I163 D385 D143 D121 D477 D110 I110 D99 D88 I99 I77 I345 D467 I467 I385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AEBD-7D01-481B-94E6-ADD272B35357}">
  <dimension ref="B2:AD39"/>
  <sheetViews>
    <sheetView workbookViewId="0">
      <selection activeCell="F5" sqref="F5"/>
    </sheetView>
  </sheetViews>
  <sheetFormatPr defaultRowHeight="14.5" x14ac:dyDescent="0.35"/>
  <cols>
    <col min="1" max="1" width="8.7265625" style="14"/>
    <col min="2" max="2" width="13.54296875" style="14" customWidth="1"/>
    <col min="3" max="5" width="10.36328125" style="14" customWidth="1"/>
    <col min="6" max="6" width="18.7265625" style="14" customWidth="1"/>
    <col min="7" max="8" width="10.36328125" style="14" customWidth="1"/>
    <col min="9" max="9" width="19.81640625" style="14" customWidth="1"/>
    <col min="10" max="11" width="10.36328125" style="14" customWidth="1"/>
    <col min="12" max="12" width="19.26953125" style="14" customWidth="1"/>
    <col min="13" max="14" width="10.36328125" style="14" customWidth="1"/>
    <col min="15" max="15" width="23.08984375" style="14" customWidth="1"/>
    <col min="16" max="17" width="11.36328125" style="14" customWidth="1"/>
    <col min="18" max="18" width="10.6328125" style="14" customWidth="1"/>
    <col min="19" max="16384" width="8.7265625" style="14"/>
  </cols>
  <sheetData>
    <row r="2" spans="2:30" ht="21" x14ac:dyDescent="0.5">
      <c r="B2" s="592" t="s">
        <v>1082</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2:30" ht="21" x14ac:dyDescent="0.5">
      <c r="B3" s="588" t="s">
        <v>1026</v>
      </c>
    </row>
    <row r="4" spans="2:30" ht="21" x14ac:dyDescent="0.5">
      <c r="B4" s="591" t="s">
        <v>1081</v>
      </c>
      <c r="C4" s="10" t="s">
        <v>46</v>
      </c>
      <c r="D4" s="10" t="s">
        <v>47</v>
      </c>
      <c r="E4" s="10" t="s">
        <v>48</v>
      </c>
      <c r="F4" s="10" t="s">
        <v>1080</v>
      </c>
      <c r="G4" s="10" t="s">
        <v>49</v>
      </c>
      <c r="H4" s="10" t="s">
        <v>1085</v>
      </c>
      <c r="I4" s="10" t="s">
        <v>1079</v>
      </c>
      <c r="J4" s="10" t="s">
        <v>1086</v>
      </c>
      <c r="K4" s="10" t="s">
        <v>1028</v>
      </c>
      <c r="L4" s="10" t="s">
        <v>1078</v>
      </c>
      <c r="M4" s="10" t="s">
        <v>1087</v>
      </c>
      <c r="N4" s="10" t="s">
        <v>1088</v>
      </c>
      <c r="O4" s="10" t="s">
        <v>1077</v>
      </c>
      <c r="P4" s="10" t="s">
        <v>1089</v>
      </c>
      <c r="Q4" s="10" t="s">
        <v>1090</v>
      </c>
      <c r="R4" s="10" t="s">
        <v>1076</v>
      </c>
      <c r="S4" s="10"/>
      <c r="T4" s="10"/>
      <c r="U4" s="10"/>
      <c r="V4" s="10"/>
      <c r="W4" s="10"/>
      <c r="X4" s="10"/>
      <c r="Y4" s="10"/>
      <c r="Z4" s="10"/>
      <c r="AA4" s="10"/>
      <c r="AB4" s="10"/>
      <c r="AC4" s="10"/>
      <c r="AD4" s="10"/>
    </row>
    <row r="5" spans="2:30" x14ac:dyDescent="0.35">
      <c r="B5" s="14" t="str">
        <f>'LCA data'!W$256</f>
        <v>Standard solcelle</v>
      </c>
      <c r="F5" s="14">
        <f>VLOOKUP($B$3&amp;"_"&amp;B5,'LCA data'!$B$7:$AB$360,24,FALSE)*1000</f>
        <v>165</v>
      </c>
      <c r="I5" s="590">
        <f>VLOOKUP($B$3&amp;"_"&amp;B5,'LCA data'!$B$7:$AB$360,26,FALSE)</f>
        <v>1</v>
      </c>
      <c r="K5" s="625">
        <f>VLOOKUP($B$3&amp;"_"&amp;B5,'LCA data'!$B$7:$AB$360,27,FALSE)</f>
        <v>0.16500000000000001</v>
      </c>
      <c r="L5" s="14">
        <f>Solceller!$C$519/Solceller!I5</f>
        <v>0</v>
      </c>
      <c r="O5" s="626">
        <f>R5/$F$29*100</f>
        <v>16.5</v>
      </c>
      <c r="R5" s="589">
        <f>$F$29*Solcelle_tabel[[#This Row],['[kWp/m2']]]</f>
        <v>165</v>
      </c>
      <c r="T5" s="14">
        <f>10*R5*0.1</f>
        <v>165</v>
      </c>
    </row>
    <row r="6" spans="2:30" x14ac:dyDescent="0.35">
      <c r="B6" s="14" t="str">
        <f>'LCA data'!W$257</f>
        <v>Produktspecifik Solcelle</v>
      </c>
      <c r="F6" s="14">
        <f>VLOOKUP($B$3&amp;"_"&amp;B6,'LCA data'!$B$7:$AB$360,24,FALSE)*1000</f>
        <v>126</v>
      </c>
      <c r="I6" s="590">
        <f>VLOOKUP($B$3&amp;"_"&amp;B6,'LCA data'!$B$7:$AB$360,26,FALSE)</f>
        <v>0.72</v>
      </c>
      <c r="K6" s="625">
        <f>VLOOKUP($B$3&amp;"_"&amp;B6,'LCA data'!$B$7:$AB$360,27,FALSE)</f>
        <v>0.17500000000000002</v>
      </c>
      <c r="L6" s="14">
        <f>Solceller!$C$519/Solceller!I6</f>
        <v>0</v>
      </c>
      <c r="O6" s="626">
        <f t="shared" ref="O6:O8" si="0">R6/$F$29*100</f>
        <v>17.5</v>
      </c>
      <c r="R6" s="589">
        <f>$F$29*Solcelle_tabel[[#This Row],['[kWp/m2']]]</f>
        <v>175.00000000000003</v>
      </c>
    </row>
    <row r="7" spans="2:30" x14ac:dyDescent="0.35">
      <c r="B7" s="14" t="str">
        <f>'LCA data'!W$258</f>
        <v>Brugerdefineret_2</v>
      </c>
      <c r="F7" s="14">
        <f>VLOOKUP($B$3&amp;"_"&amp;B7,'LCA data'!$B$7:$AB$360,24,FALSE)*1000</f>
        <v>0</v>
      </c>
      <c r="I7" s="590">
        <f>VLOOKUP($B$3&amp;"_"&amp;B7,'LCA data'!$B$7:$AB$360,26,FALSE)</f>
        <v>0</v>
      </c>
      <c r="K7" s="625">
        <f>VLOOKUP($B$3&amp;"_"&amp;B7,'LCA data'!$B$7:$AB$360,27,FALSE)</f>
        <v>0</v>
      </c>
      <c r="L7" s="14" t="e">
        <f>Solceller!$C$519/Solceller!I7</f>
        <v>#DIV/0!</v>
      </c>
      <c r="O7" s="626">
        <f t="shared" si="0"/>
        <v>0</v>
      </c>
      <c r="R7" s="589">
        <f>$F$29*Solcelle_tabel[[#This Row],['[kWp/m2']]]</f>
        <v>0</v>
      </c>
    </row>
    <row r="8" spans="2:30" x14ac:dyDescent="0.35">
      <c r="B8" s="14" t="str">
        <f>'LCA data'!W$259</f>
        <v>Brugerdefineret_3</v>
      </c>
      <c r="F8" s="14">
        <f>VLOOKUP($B$3&amp;"_"&amp;B8,'LCA data'!$B$7:$AB$360,24,FALSE)*1000</f>
        <v>0</v>
      </c>
      <c r="I8" s="590">
        <f>VLOOKUP($B$3&amp;"_"&amp;B8,'LCA data'!$B$7:$AB$360,26,FALSE)</f>
        <v>0</v>
      </c>
      <c r="K8" s="625">
        <f>VLOOKUP($B$3&amp;"_"&amp;B8,'LCA data'!$B$7:$AB$360,27,FALSE)</f>
        <v>0</v>
      </c>
      <c r="L8" s="14" t="e">
        <f>Solceller!$C$519/Solceller!I8</f>
        <v>#DIV/0!</v>
      </c>
      <c r="O8" s="626">
        <f t="shared" si="0"/>
        <v>0</v>
      </c>
      <c r="R8" s="589">
        <f>$F$29*Solcelle_tabel[[#This Row],['[kWp/m2']]]</f>
        <v>0</v>
      </c>
    </row>
    <row r="14" spans="2:30" ht="21.5" thickBot="1" x14ac:dyDescent="0.55000000000000004">
      <c r="B14" s="588"/>
    </row>
    <row r="15" spans="2:30" ht="19" thickBot="1" x14ac:dyDescent="0.5">
      <c r="B15" s="1041" t="s">
        <v>1075</v>
      </c>
      <c r="C15" s="1042"/>
      <c r="D15" s="1042"/>
      <c r="E15" s="1042"/>
      <c r="F15" s="1042"/>
      <c r="G15" s="1042"/>
      <c r="H15" s="1042"/>
      <c r="I15" s="1043"/>
      <c r="M15" s="14">
        <f>VLOOKUP($B$3&amp;"_"&amp;B5,'LCA data'!$B$7:$AB$360,24,FALSE)*1000</f>
        <v>165</v>
      </c>
    </row>
    <row r="16" spans="2:30" ht="16" thickBot="1" x14ac:dyDescent="0.4">
      <c r="B16" s="587" t="s">
        <v>734</v>
      </c>
      <c r="C16" s="586" t="s">
        <v>1074</v>
      </c>
      <c r="D16" s="585" t="s">
        <v>1073</v>
      </c>
      <c r="E16" s="585" t="s">
        <v>1072</v>
      </c>
      <c r="F16" s="585" t="s">
        <v>1048</v>
      </c>
      <c r="G16" s="585" t="s">
        <v>1071</v>
      </c>
      <c r="H16" s="585" t="s">
        <v>1070</v>
      </c>
      <c r="I16" s="584" t="s">
        <v>1069</v>
      </c>
    </row>
    <row r="17" spans="2:30" ht="15.5" x14ac:dyDescent="0.35">
      <c r="B17" s="583" t="s">
        <v>1068</v>
      </c>
      <c r="C17" s="582">
        <v>86</v>
      </c>
      <c r="D17" s="581">
        <v>86</v>
      </c>
      <c r="E17" s="581">
        <v>86</v>
      </c>
      <c r="F17" s="581">
        <v>86</v>
      </c>
      <c r="G17" s="581">
        <v>86</v>
      </c>
      <c r="H17" s="581">
        <v>86</v>
      </c>
      <c r="I17" s="580">
        <v>86</v>
      </c>
    </row>
    <row r="18" spans="2:30" ht="15.5" x14ac:dyDescent="0.35">
      <c r="B18" s="579" t="s">
        <v>1046</v>
      </c>
      <c r="C18" s="578">
        <v>84</v>
      </c>
      <c r="D18" s="577">
        <v>89</v>
      </c>
      <c r="E18" s="577">
        <v>93</v>
      </c>
      <c r="F18" s="577">
        <v>94</v>
      </c>
      <c r="G18" s="577">
        <v>93</v>
      </c>
      <c r="H18" s="577">
        <v>90</v>
      </c>
      <c r="I18" s="576">
        <v>85</v>
      </c>
    </row>
    <row r="19" spans="2:30" ht="15.5" x14ac:dyDescent="0.35">
      <c r="B19" s="579" t="s">
        <v>1067</v>
      </c>
      <c r="C19" s="578">
        <v>81</v>
      </c>
      <c r="D19" s="577">
        <v>90</v>
      </c>
      <c r="E19" s="577">
        <v>97</v>
      </c>
      <c r="F19" s="577">
        <v>99</v>
      </c>
      <c r="G19" s="577">
        <v>97</v>
      </c>
      <c r="H19" s="577">
        <v>91</v>
      </c>
      <c r="I19" s="576">
        <v>82</v>
      </c>
    </row>
    <row r="20" spans="2:30" ht="15.5" x14ac:dyDescent="0.35">
      <c r="B20" s="579" t="s">
        <v>1045</v>
      </c>
      <c r="C20" s="578">
        <v>77</v>
      </c>
      <c r="D20" s="577">
        <v>89</v>
      </c>
      <c r="E20" s="577">
        <v>97</v>
      </c>
      <c r="F20" s="577">
        <v>100</v>
      </c>
      <c r="G20" s="577">
        <v>98</v>
      </c>
      <c r="H20" s="577">
        <v>90</v>
      </c>
      <c r="I20" s="576">
        <v>79</v>
      </c>
    </row>
    <row r="21" spans="2:30" ht="15.5" x14ac:dyDescent="0.35">
      <c r="B21" s="579" t="s">
        <v>1066</v>
      </c>
      <c r="C21" s="578">
        <v>72</v>
      </c>
      <c r="D21" s="577">
        <v>85</v>
      </c>
      <c r="E21" s="577">
        <v>93</v>
      </c>
      <c r="F21" s="577">
        <v>97</v>
      </c>
      <c r="G21" s="577">
        <v>94</v>
      </c>
      <c r="H21" s="577">
        <v>86</v>
      </c>
      <c r="I21" s="576">
        <v>73</v>
      </c>
    </row>
    <row r="22" spans="2:30" ht="15.5" x14ac:dyDescent="0.35">
      <c r="B22" s="579" t="s">
        <v>1065</v>
      </c>
      <c r="C22" s="578">
        <v>65</v>
      </c>
      <c r="D22" s="577">
        <v>77</v>
      </c>
      <c r="E22" s="577">
        <v>86</v>
      </c>
      <c r="F22" s="577">
        <v>89</v>
      </c>
      <c r="G22" s="577">
        <v>86</v>
      </c>
      <c r="H22" s="577">
        <v>78</v>
      </c>
      <c r="I22" s="576">
        <v>66</v>
      </c>
    </row>
    <row r="23" spans="2:30" ht="16" thickBot="1" x14ac:dyDescent="0.4">
      <c r="B23" s="575" t="s">
        <v>1064</v>
      </c>
      <c r="C23" s="574">
        <v>57</v>
      </c>
      <c r="D23" s="573">
        <v>67</v>
      </c>
      <c r="E23" s="573">
        <v>75</v>
      </c>
      <c r="F23" s="573">
        <v>77</v>
      </c>
      <c r="G23" s="573">
        <v>75</v>
      </c>
      <c r="H23" s="573">
        <v>68</v>
      </c>
      <c r="I23" s="572">
        <v>58</v>
      </c>
    </row>
    <row r="24" spans="2:30" x14ac:dyDescent="0.35">
      <c r="B24" s="14" t="s">
        <v>1063</v>
      </c>
    </row>
    <row r="27" spans="2:30" ht="18.5" x14ac:dyDescent="0.45">
      <c r="B27" s="82" t="s">
        <v>1062</v>
      </c>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row>
    <row r="28" spans="2:30" ht="15" thickBot="1" x14ac:dyDescent="0.4">
      <c r="B28" s="1044" t="s">
        <v>1061</v>
      </c>
      <c r="C28" s="1044"/>
      <c r="D28" s="571"/>
      <c r="E28" s="571"/>
      <c r="F28" s="1044" t="s">
        <v>1060</v>
      </c>
      <c r="G28" s="1044"/>
    </row>
    <row r="29" spans="2:30" x14ac:dyDescent="0.35">
      <c r="B29" s="14" t="s">
        <v>1059</v>
      </c>
      <c r="F29" s="14">
        <v>1000</v>
      </c>
    </row>
    <row r="33" spans="2:30" ht="18.5" x14ac:dyDescent="0.45">
      <c r="B33" s="82" t="s">
        <v>1058</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row>
    <row r="34" spans="2:30" x14ac:dyDescent="0.35">
      <c r="B34" s="14" t="s">
        <v>1043</v>
      </c>
      <c r="F34" s="14">
        <v>89</v>
      </c>
      <c r="G34" s="14" t="s">
        <v>1042</v>
      </c>
    </row>
    <row r="35" spans="2:30" x14ac:dyDescent="0.35">
      <c r="B35" s="14" t="s">
        <v>1057</v>
      </c>
      <c r="F35" s="14">
        <v>91.2</v>
      </c>
      <c r="G35" s="14" t="s">
        <v>1042</v>
      </c>
    </row>
    <row r="38" spans="2:30" ht="18.5" x14ac:dyDescent="0.45">
      <c r="B38" s="82" t="s">
        <v>1056</v>
      </c>
      <c r="C38" s="10"/>
      <c r="D38" s="10"/>
      <c r="E38" s="10"/>
      <c r="F38" s="10"/>
      <c r="G38" s="10"/>
      <c r="H38" s="10"/>
      <c r="I38" s="570"/>
      <c r="J38" s="10"/>
      <c r="K38" s="10"/>
      <c r="L38" s="10"/>
      <c r="M38" s="10"/>
      <c r="N38" s="10"/>
      <c r="O38" s="10"/>
      <c r="P38" s="10"/>
      <c r="Q38" s="10"/>
      <c r="R38" s="10"/>
      <c r="S38" s="10"/>
      <c r="T38" s="10"/>
      <c r="U38" s="10"/>
      <c r="V38" s="10"/>
      <c r="W38" s="10"/>
      <c r="X38" s="10"/>
      <c r="Y38" s="10"/>
      <c r="Z38" s="10"/>
      <c r="AA38" s="10"/>
      <c r="AB38" s="10"/>
      <c r="AC38" s="10"/>
      <c r="AD38" s="10"/>
    </row>
    <row r="39" spans="2:30" x14ac:dyDescent="0.35">
      <c r="B39" s="14" t="s">
        <v>1055</v>
      </c>
      <c r="F39" s="14">
        <v>70</v>
      </c>
      <c r="G39" s="14" t="s">
        <v>1042</v>
      </c>
    </row>
  </sheetData>
  <sheetProtection algorithmName="SHA-512" hashValue="NcZlppNt0PiMWGfiLADOOWO6w/RyJBWVHtPHIQ1gkGq/A/MiVmw1LZRWmNCsY3hIUgA9cjUYkk8waHQKQUdneA==" saltValue="IF/D1Mqmh/e7Iuebt8aF8Q==" spinCount="100000" sheet="1" objects="1" scenarios="1"/>
  <mergeCells count="3">
    <mergeCell ref="B15:I15"/>
    <mergeCell ref="B28:C28"/>
    <mergeCell ref="F28:G28"/>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FE279-2BC1-4C78-893A-5483874BFB63}">
  <sheetPr codeName="Ark9"/>
  <dimension ref="A1:AT171"/>
  <sheetViews>
    <sheetView workbookViewId="0">
      <selection activeCell="A2" sqref="A2:XFD145"/>
    </sheetView>
  </sheetViews>
  <sheetFormatPr defaultRowHeight="14.5" x14ac:dyDescent="0.35"/>
  <cols>
    <col min="1" max="1" width="36.54296875" customWidth="1"/>
    <col min="2" max="2" width="16.453125" customWidth="1"/>
    <col min="3" max="3" width="29.54296875" bestFit="1" customWidth="1"/>
    <col min="4" max="4" width="36.7265625" customWidth="1"/>
    <col min="5" max="6" width="12.54296875" bestFit="1" customWidth="1"/>
    <col min="7" max="7" width="14.54296875" bestFit="1" customWidth="1"/>
    <col min="8" max="8" width="10.453125" customWidth="1"/>
    <col min="9" max="9" width="23.54296875" customWidth="1"/>
    <col min="10" max="10" width="16.54296875" bestFit="1" customWidth="1"/>
    <col min="11" max="11" width="9.54296875" bestFit="1" customWidth="1"/>
    <col min="12" max="12" width="12.54296875" customWidth="1"/>
    <col min="13" max="13" width="12.453125" customWidth="1"/>
    <col min="14" max="14" width="14.54296875" customWidth="1"/>
    <col min="15" max="15" width="15" bestFit="1" customWidth="1"/>
    <col min="16" max="16" width="11.453125" customWidth="1"/>
    <col min="17" max="17" width="13.54296875" bestFit="1" customWidth="1"/>
    <col min="18" max="18" width="12.54296875" bestFit="1" customWidth="1"/>
    <col min="19" max="19" width="11" customWidth="1"/>
    <col min="20" max="20" width="10.453125" customWidth="1"/>
    <col min="21" max="23" width="13.54296875" bestFit="1" customWidth="1"/>
    <col min="24" max="24" width="13" bestFit="1" customWidth="1"/>
    <col min="25" max="25" width="14.453125" customWidth="1"/>
    <col min="26" max="26" width="13" bestFit="1" customWidth="1"/>
    <col min="27" max="30" width="9.453125" bestFit="1" customWidth="1"/>
    <col min="33" max="33" width="9.453125" bestFit="1" customWidth="1"/>
    <col min="36" max="36" width="29.54296875" bestFit="1" customWidth="1"/>
    <col min="37" max="38" width="33" bestFit="1" customWidth="1"/>
    <col min="39" max="46" width="33.54296875" bestFit="1" customWidth="1"/>
  </cols>
  <sheetData>
    <row r="1" spans="1:46" ht="29" x14ac:dyDescent="0.35">
      <c r="C1" t="s">
        <v>154</v>
      </c>
      <c r="D1" t="s">
        <v>155</v>
      </c>
      <c r="G1" t="s">
        <v>156</v>
      </c>
      <c r="H1">
        <v>5100</v>
      </c>
      <c r="I1" t="s">
        <v>157</v>
      </c>
      <c r="K1" s="4" t="s">
        <v>76</v>
      </c>
      <c r="L1" s="4" t="s">
        <v>114</v>
      </c>
      <c r="M1" s="4" t="s">
        <v>36</v>
      </c>
      <c r="N1" s="4" t="s">
        <v>37</v>
      </c>
      <c r="O1" s="822" t="s">
        <v>83</v>
      </c>
      <c r="Q1" s="1045"/>
      <c r="R1" s="1045"/>
      <c r="S1" s="1045"/>
      <c r="T1" s="1045"/>
    </row>
    <row r="2" spans="1:46" hidden="1" x14ac:dyDescent="0.35">
      <c r="A2" t="s">
        <v>158</v>
      </c>
      <c r="D2">
        <v>0.13</v>
      </c>
      <c r="G2" t="s">
        <v>159</v>
      </c>
      <c r="H2">
        <v>20</v>
      </c>
      <c r="I2" t="s">
        <v>160</v>
      </c>
      <c r="L2" s="823" t="s">
        <v>161</v>
      </c>
    </row>
    <row r="3" spans="1:46" hidden="1" x14ac:dyDescent="0.35">
      <c r="A3" t="s">
        <v>162</v>
      </c>
      <c r="D3">
        <v>0.04</v>
      </c>
      <c r="G3" t="s">
        <v>163</v>
      </c>
      <c r="H3">
        <v>4</v>
      </c>
      <c r="I3" t="s">
        <v>160</v>
      </c>
    </row>
    <row r="4" spans="1:46" hidden="1" x14ac:dyDescent="0.35">
      <c r="A4" t="s">
        <v>164</v>
      </c>
      <c r="D4">
        <v>0.17</v>
      </c>
      <c r="G4" t="s">
        <v>165</v>
      </c>
      <c r="H4">
        <v>10</v>
      </c>
      <c r="AJ4" s="824"/>
      <c r="AK4" s="825"/>
      <c r="AL4" s="825"/>
      <c r="AM4" s="825"/>
      <c r="AN4" s="825"/>
      <c r="AO4" s="825"/>
      <c r="AP4" s="825"/>
      <c r="AQ4" s="825"/>
      <c r="AR4" s="825"/>
      <c r="AS4" s="825"/>
      <c r="AT4" s="825"/>
    </row>
    <row r="5" spans="1:46" hidden="1" x14ac:dyDescent="0.35">
      <c r="A5" t="s">
        <v>166</v>
      </c>
      <c r="D5">
        <v>2</v>
      </c>
      <c r="AJ5" s="824"/>
      <c r="AK5" s="824"/>
      <c r="AL5" s="824"/>
      <c r="AM5" s="824"/>
      <c r="AN5" s="824"/>
      <c r="AO5" s="824"/>
      <c r="AP5" s="824"/>
      <c r="AQ5" s="824"/>
      <c r="AR5" s="824"/>
      <c r="AS5" s="824"/>
      <c r="AT5" s="824"/>
    </row>
    <row r="6" spans="1:46" hidden="1" x14ac:dyDescent="0.35">
      <c r="A6" t="s">
        <v>167</v>
      </c>
      <c r="D6">
        <v>0.1</v>
      </c>
      <c r="AJ6" s="824"/>
      <c r="AK6" s="824"/>
      <c r="AL6" s="824"/>
      <c r="AM6" s="824"/>
      <c r="AN6" s="824"/>
      <c r="AO6" s="824"/>
      <c r="AP6" s="824"/>
      <c r="AQ6" s="824"/>
      <c r="AR6" s="824"/>
      <c r="AS6" s="824"/>
      <c r="AT6" s="824"/>
    </row>
    <row r="7" spans="1:46" hidden="1" x14ac:dyDescent="0.35">
      <c r="A7" t="s">
        <v>168</v>
      </c>
      <c r="D7">
        <v>0.04</v>
      </c>
      <c r="AJ7" s="824"/>
      <c r="AK7" s="824"/>
      <c r="AL7" s="824"/>
      <c r="AM7" s="824"/>
      <c r="AN7" s="824"/>
      <c r="AO7" s="824"/>
      <c r="AP7" s="824"/>
      <c r="AQ7" s="824"/>
      <c r="AR7" s="824"/>
      <c r="AS7" s="824"/>
      <c r="AT7" s="824"/>
    </row>
    <row r="8" spans="1:46" hidden="1" x14ac:dyDescent="0.35">
      <c r="AJ8" s="824"/>
      <c r="AK8" s="824"/>
      <c r="AL8" s="824"/>
      <c r="AM8" s="824"/>
      <c r="AN8" s="824"/>
      <c r="AO8" s="824"/>
      <c r="AP8" s="824"/>
      <c r="AQ8" s="824"/>
      <c r="AR8" s="824"/>
      <c r="AS8" s="824"/>
      <c r="AT8" s="824"/>
    </row>
    <row r="9" spans="1:46" hidden="1" x14ac:dyDescent="0.35">
      <c r="AJ9" s="826"/>
      <c r="AK9" s="826"/>
      <c r="AL9" s="826"/>
      <c r="AM9" s="824"/>
      <c r="AN9" s="824"/>
      <c r="AO9" s="824"/>
      <c r="AP9" s="824"/>
      <c r="AQ9" s="824"/>
      <c r="AR9" s="824"/>
      <c r="AS9" s="824"/>
      <c r="AT9" s="824"/>
    </row>
    <row r="10" spans="1:46" hidden="1" x14ac:dyDescent="0.35">
      <c r="A10" s="827"/>
      <c r="B10" s="827"/>
      <c r="C10" s="827"/>
      <c r="D10" s="827"/>
      <c r="F10" s="827"/>
      <c r="G10" s="827"/>
      <c r="H10" s="827"/>
      <c r="I10" s="827"/>
      <c r="L10" s="827"/>
      <c r="M10" s="827"/>
      <c r="N10" s="827"/>
      <c r="O10" s="827"/>
      <c r="Q10" s="827"/>
      <c r="R10" s="827"/>
      <c r="S10" s="827"/>
      <c r="T10" s="827"/>
      <c r="V10" s="827"/>
      <c r="W10" s="827"/>
      <c r="X10" s="827"/>
      <c r="Y10" s="827"/>
      <c r="AA10" s="827"/>
      <c r="AB10" s="827"/>
      <c r="AC10" s="827"/>
      <c r="AD10" s="827"/>
      <c r="AJ10" s="826"/>
      <c r="AK10" s="826"/>
      <c r="AL10" s="826"/>
      <c r="AM10" s="824"/>
      <c r="AN10" s="824"/>
      <c r="AO10" s="824"/>
      <c r="AP10" s="824"/>
      <c r="AQ10" s="824"/>
      <c r="AR10" s="824"/>
      <c r="AS10" s="824"/>
      <c r="AT10" s="824"/>
    </row>
    <row r="11" spans="1:46" hidden="1" x14ac:dyDescent="0.35">
      <c r="A11" s="827"/>
      <c r="D11" s="827"/>
      <c r="F11" s="827"/>
      <c r="G11" s="827"/>
      <c r="H11" s="827"/>
      <c r="I11" s="827"/>
      <c r="L11" s="827"/>
      <c r="M11" s="827"/>
      <c r="N11" s="827"/>
      <c r="O11" s="827"/>
      <c r="Q11" s="827"/>
      <c r="R11" s="827"/>
      <c r="S11" s="827"/>
      <c r="T11" s="827"/>
      <c r="V11" s="827"/>
      <c r="W11" s="827"/>
      <c r="X11" s="827"/>
      <c r="Y11" s="827"/>
      <c r="AA11" s="827"/>
      <c r="AB11" s="827"/>
      <c r="AC11" s="827"/>
      <c r="AD11" s="827"/>
      <c r="AJ11" s="826"/>
      <c r="AK11" s="826"/>
      <c r="AL11" s="826"/>
      <c r="AM11" s="824"/>
      <c r="AN11" s="824"/>
      <c r="AO11" s="824"/>
      <c r="AP11" s="824"/>
      <c r="AQ11" s="824"/>
      <c r="AR11" s="824"/>
      <c r="AS11" s="824"/>
      <c r="AT11" s="824"/>
    </row>
    <row r="12" spans="1:46" hidden="1" x14ac:dyDescent="0.35">
      <c r="A12" s="827"/>
      <c r="F12" s="827"/>
      <c r="G12" s="828"/>
      <c r="H12" s="828"/>
      <c r="I12" s="827"/>
      <c r="L12" s="827"/>
      <c r="M12" s="828"/>
      <c r="N12" s="828"/>
      <c r="O12" s="827"/>
      <c r="Q12" s="827"/>
      <c r="R12" s="828"/>
      <c r="S12" s="828"/>
      <c r="T12" s="827"/>
      <c r="V12" s="827"/>
      <c r="W12" s="828"/>
      <c r="X12" s="828"/>
      <c r="Y12" s="827"/>
      <c r="AA12" s="827"/>
      <c r="AB12" s="828"/>
      <c r="AC12" s="828"/>
      <c r="AD12" s="827"/>
      <c r="AJ12" s="826"/>
      <c r="AK12" s="826"/>
      <c r="AL12" s="826"/>
    </row>
    <row r="13" spans="1:46" hidden="1" x14ac:dyDescent="0.35">
      <c r="A13" s="827"/>
      <c r="F13" s="827"/>
      <c r="G13" s="829"/>
      <c r="H13" s="829"/>
      <c r="I13" s="827"/>
      <c r="L13" s="827"/>
      <c r="M13" s="829"/>
      <c r="N13" s="829"/>
      <c r="O13" s="827"/>
      <c r="Q13" s="827"/>
      <c r="R13" s="829"/>
      <c r="S13" s="829"/>
      <c r="T13" s="827"/>
      <c r="V13" s="827"/>
      <c r="W13" s="829"/>
      <c r="X13" s="829"/>
      <c r="Y13" s="827"/>
      <c r="AA13" s="827"/>
      <c r="AB13" s="829"/>
      <c r="AC13" s="829"/>
      <c r="AD13" s="827"/>
      <c r="AJ13" s="826"/>
      <c r="AK13" s="826"/>
      <c r="AL13" s="826"/>
    </row>
    <row r="14" spans="1:46" hidden="1" x14ac:dyDescent="0.35">
      <c r="A14" s="827"/>
      <c r="B14" s="829"/>
      <c r="C14" s="829"/>
      <c r="D14" s="827"/>
    </row>
    <row r="15" spans="1:46" hidden="1" x14ac:dyDescent="0.35">
      <c r="A15" s="827"/>
      <c r="B15" s="829"/>
      <c r="C15" s="829"/>
      <c r="D15" s="827"/>
      <c r="F15" s="827"/>
      <c r="G15" s="829"/>
      <c r="H15" s="829"/>
      <c r="I15" s="827"/>
      <c r="L15" s="827"/>
      <c r="M15" s="829"/>
      <c r="N15" s="829"/>
      <c r="O15" s="827"/>
      <c r="Q15" s="827"/>
      <c r="R15" s="829"/>
      <c r="S15" s="829"/>
      <c r="T15" s="827"/>
      <c r="V15" s="827"/>
      <c r="W15" s="829"/>
      <c r="X15" s="829"/>
      <c r="Y15" s="827"/>
    </row>
    <row r="16" spans="1:46" hidden="1" x14ac:dyDescent="0.35">
      <c r="A16" s="827"/>
      <c r="B16" s="829"/>
      <c r="C16" s="829"/>
      <c r="D16" s="827"/>
      <c r="F16" s="827"/>
      <c r="G16" s="829"/>
      <c r="H16" s="829"/>
      <c r="I16" s="827"/>
      <c r="L16" s="827"/>
      <c r="M16" s="829"/>
      <c r="N16" s="829"/>
      <c r="O16" s="827"/>
      <c r="Q16" s="827"/>
      <c r="R16" s="829"/>
      <c r="S16" s="829"/>
      <c r="T16" s="827"/>
      <c r="V16" s="827"/>
      <c r="W16" s="829"/>
      <c r="X16" s="829"/>
      <c r="Y16" s="827"/>
    </row>
    <row r="17" spans="1:30" hidden="1" x14ac:dyDescent="0.35">
      <c r="A17" s="827"/>
      <c r="C17" s="830"/>
      <c r="D17" s="827"/>
      <c r="F17" s="827"/>
      <c r="H17" s="830"/>
      <c r="I17" s="827"/>
      <c r="L17" s="827"/>
      <c r="N17" s="830"/>
      <c r="O17" s="827"/>
      <c r="Q17" s="827"/>
      <c r="S17" s="830"/>
      <c r="T17" s="827"/>
      <c r="V17" s="827"/>
      <c r="X17" s="830"/>
      <c r="Y17" s="827"/>
    </row>
    <row r="18" spans="1:30" hidden="1" x14ac:dyDescent="0.35">
      <c r="A18" s="827"/>
      <c r="B18" s="829"/>
      <c r="C18" s="829"/>
      <c r="D18" s="827"/>
      <c r="F18" s="827"/>
      <c r="G18" s="829"/>
      <c r="H18" s="829"/>
      <c r="I18" s="827"/>
      <c r="L18" s="827"/>
      <c r="M18" s="829"/>
      <c r="N18" s="829"/>
      <c r="O18" s="827"/>
      <c r="Q18" s="827"/>
      <c r="R18" s="829"/>
      <c r="S18" s="829"/>
      <c r="T18" s="827"/>
      <c r="V18" s="827"/>
      <c r="W18" s="829"/>
      <c r="X18" s="829"/>
      <c r="Y18" s="827"/>
    </row>
    <row r="19" spans="1:30" hidden="1" x14ac:dyDescent="0.35"/>
    <row r="20" spans="1:30" hidden="1" x14ac:dyDescent="0.35"/>
    <row r="21" spans="1:30" hidden="1" x14ac:dyDescent="0.35"/>
    <row r="22" spans="1:30" hidden="1" x14ac:dyDescent="0.35">
      <c r="A22" s="827"/>
      <c r="D22" s="827"/>
      <c r="F22" s="827"/>
      <c r="I22" s="827"/>
      <c r="L22" s="827"/>
      <c r="O22" s="827"/>
      <c r="Q22" s="827"/>
      <c r="T22" s="827"/>
      <c r="V22" s="827"/>
      <c r="Y22" s="827"/>
    </row>
    <row r="23" spans="1:30" hidden="1" x14ac:dyDescent="0.35">
      <c r="A23" s="827"/>
      <c r="D23" s="827"/>
      <c r="F23" s="827"/>
      <c r="I23" s="827"/>
      <c r="L23" s="827"/>
      <c r="O23" s="827"/>
      <c r="Q23" s="827"/>
      <c r="T23" s="827"/>
      <c r="V23" s="827"/>
      <c r="Y23" s="827"/>
    </row>
    <row r="24" spans="1:30" hidden="1" x14ac:dyDescent="0.35"/>
    <row r="25" spans="1:30" hidden="1" x14ac:dyDescent="0.35"/>
    <row r="26" spans="1:30" hidden="1" x14ac:dyDescent="0.35"/>
    <row r="27" spans="1:30" hidden="1" x14ac:dyDescent="0.35">
      <c r="D27" s="827"/>
      <c r="I27" s="827"/>
      <c r="O27" s="827"/>
      <c r="T27" s="827"/>
      <c r="Y27" s="827"/>
      <c r="AD27" s="827"/>
    </row>
    <row r="28" spans="1:30" hidden="1" x14ac:dyDescent="0.35">
      <c r="B28" s="829"/>
      <c r="C28" s="829"/>
      <c r="D28" s="827"/>
      <c r="G28" s="829"/>
      <c r="H28" s="829"/>
      <c r="I28" s="827"/>
      <c r="M28" s="829"/>
      <c r="N28" s="829"/>
      <c r="O28" s="827"/>
      <c r="R28" s="829"/>
      <c r="S28" s="829"/>
      <c r="T28" s="827"/>
      <c r="W28" s="829"/>
      <c r="X28" s="829"/>
      <c r="Y28" s="827"/>
      <c r="AB28" s="829"/>
      <c r="AC28" s="829"/>
      <c r="AD28" s="827"/>
    </row>
    <row r="29" spans="1:30" hidden="1" x14ac:dyDescent="0.35"/>
    <row r="30" spans="1:30" hidden="1" x14ac:dyDescent="0.35"/>
    <row r="31" spans="1:30" hidden="1" x14ac:dyDescent="0.35"/>
    <row r="32" spans="1:30" hidden="1" x14ac:dyDescent="0.35"/>
    <row r="33" customFormat="1" hidden="1" x14ac:dyDescent="0.35"/>
    <row r="34" customFormat="1" hidden="1" x14ac:dyDescent="0.35"/>
    <row r="35" customFormat="1" hidden="1" x14ac:dyDescent="0.35"/>
    <row r="36" customFormat="1" hidden="1" x14ac:dyDescent="0.35"/>
    <row r="37" customFormat="1" hidden="1" x14ac:dyDescent="0.35"/>
    <row r="38" customFormat="1" hidden="1" x14ac:dyDescent="0.35"/>
    <row r="39" customFormat="1" hidden="1" x14ac:dyDescent="0.35"/>
    <row r="40" customFormat="1" hidden="1" x14ac:dyDescent="0.35"/>
    <row r="41" customFormat="1" hidden="1" x14ac:dyDescent="0.35"/>
    <row r="42" customFormat="1" hidden="1" x14ac:dyDescent="0.35"/>
    <row r="43" customFormat="1" hidden="1" x14ac:dyDescent="0.35"/>
    <row r="44" customFormat="1" hidden="1" x14ac:dyDescent="0.35"/>
    <row r="45" customFormat="1" hidden="1" x14ac:dyDescent="0.35"/>
    <row r="46" customFormat="1" hidden="1" x14ac:dyDescent="0.35"/>
    <row r="47" customFormat="1" hidden="1" x14ac:dyDescent="0.35"/>
    <row r="48" customFormat="1" hidden="1" x14ac:dyDescent="0.35"/>
    <row r="49" spans="1:46" hidden="1" x14ac:dyDescent="0.35"/>
    <row r="50" spans="1:46" hidden="1" x14ac:dyDescent="0.35"/>
    <row r="51" spans="1:46" hidden="1" x14ac:dyDescent="0.35"/>
    <row r="52" spans="1:46" hidden="1" x14ac:dyDescent="0.35"/>
    <row r="53" spans="1:46" hidden="1" x14ac:dyDescent="0.35"/>
    <row r="54" spans="1:46" hidden="1" x14ac:dyDescent="0.35"/>
    <row r="55" spans="1:46" hidden="1" x14ac:dyDescent="0.35"/>
    <row r="56" spans="1:46" hidden="1" x14ac:dyDescent="0.35"/>
    <row r="57" spans="1:46" hidden="1" x14ac:dyDescent="0.35"/>
    <row r="58" spans="1:46" hidden="1" x14ac:dyDescent="0.35"/>
    <row r="59" spans="1:46" hidden="1" x14ac:dyDescent="0.35"/>
    <row r="60" spans="1:46" hidden="1" x14ac:dyDescent="0.35">
      <c r="AM60" s="824"/>
      <c r="AN60" s="824"/>
      <c r="AO60" s="824"/>
      <c r="AP60" s="824"/>
      <c r="AQ60" s="824"/>
      <c r="AR60" s="824"/>
      <c r="AS60" s="824"/>
      <c r="AT60" s="824"/>
    </row>
    <row r="61" spans="1:46" hidden="1" x14ac:dyDescent="0.35">
      <c r="AM61" s="824"/>
      <c r="AN61" s="824"/>
      <c r="AO61" s="824"/>
      <c r="AP61" s="824"/>
      <c r="AQ61" s="824"/>
      <c r="AR61" s="824"/>
      <c r="AS61" s="824"/>
      <c r="AT61" s="824"/>
    </row>
    <row r="62" spans="1:46" hidden="1" x14ac:dyDescent="0.35">
      <c r="AJ62" s="824"/>
      <c r="AK62" s="824"/>
      <c r="AL62" s="824"/>
      <c r="AM62" s="824"/>
      <c r="AN62" s="824"/>
      <c r="AO62" s="824"/>
      <c r="AP62" s="824"/>
      <c r="AQ62" s="824"/>
      <c r="AR62" s="824"/>
      <c r="AS62" s="824"/>
      <c r="AT62" s="824"/>
    </row>
    <row r="63" spans="1:46" hidden="1" x14ac:dyDescent="0.35">
      <c r="AJ63" s="824"/>
      <c r="AK63" s="824"/>
      <c r="AL63" s="824"/>
      <c r="AM63" s="824"/>
      <c r="AN63" s="824"/>
      <c r="AO63" s="824"/>
      <c r="AP63" s="824"/>
      <c r="AQ63" s="824"/>
      <c r="AR63" s="824"/>
      <c r="AS63" s="824"/>
      <c r="AT63" s="824"/>
    </row>
    <row r="64" spans="1:46" hidden="1" x14ac:dyDescent="0.35">
      <c r="A64" s="10"/>
      <c r="B64" s="1046" t="s">
        <v>123</v>
      </c>
      <c r="C64" s="1047"/>
      <c r="D64" s="1046" t="s">
        <v>141</v>
      </c>
      <c r="E64" s="1047"/>
      <c r="F64" s="1046" t="s">
        <v>141</v>
      </c>
      <c r="G64" s="1050"/>
      <c r="H64" s="1046" t="s">
        <v>169</v>
      </c>
      <c r="I64" s="1047"/>
      <c r="J64" t="s">
        <v>140</v>
      </c>
      <c r="AJ64" s="824"/>
      <c r="AK64" s="824"/>
      <c r="AL64" s="824"/>
      <c r="AM64" s="824"/>
      <c r="AN64" s="824"/>
      <c r="AO64" s="824"/>
      <c r="AP64" s="824"/>
      <c r="AQ64" s="824"/>
      <c r="AR64" s="824"/>
      <c r="AS64" s="824"/>
      <c r="AT64" s="824"/>
    </row>
    <row r="65" spans="1:38" hidden="1" x14ac:dyDescent="0.35">
      <c r="A65" s="10"/>
      <c r="B65" s="1048" t="s">
        <v>170</v>
      </c>
      <c r="C65" s="1049"/>
      <c r="D65" s="1048" t="s">
        <v>171</v>
      </c>
      <c r="E65" s="1049"/>
      <c r="F65" s="1051" t="s">
        <v>172</v>
      </c>
      <c r="G65" s="1052"/>
      <c r="H65" s="1051" t="s">
        <v>173</v>
      </c>
      <c r="I65" s="1053"/>
      <c r="J65" t="s">
        <v>174</v>
      </c>
      <c r="AJ65" s="824"/>
      <c r="AK65" s="824"/>
      <c r="AL65" s="824"/>
    </row>
    <row r="66" spans="1:38" hidden="1" x14ac:dyDescent="0.35">
      <c r="A66" s="10"/>
      <c r="B66" s="831" t="s">
        <v>4</v>
      </c>
      <c r="C66" s="832" t="s">
        <v>5</v>
      </c>
      <c r="D66" s="831" t="s">
        <v>4</v>
      </c>
      <c r="E66" s="832" t="s">
        <v>5</v>
      </c>
      <c r="F66" s="831" t="s">
        <v>4</v>
      </c>
      <c r="G66" s="833" t="s">
        <v>5</v>
      </c>
      <c r="H66" s="831" t="s">
        <v>4</v>
      </c>
      <c r="I66" s="832" t="s">
        <v>5</v>
      </c>
      <c r="AJ66" s="824"/>
      <c r="AK66" s="824"/>
      <c r="AL66" s="824"/>
    </row>
    <row r="67" spans="1:38" hidden="1" x14ac:dyDescent="0.35">
      <c r="A67" s="10">
        <f>Scenarier!J71</f>
        <v>0</v>
      </c>
      <c r="B67" s="834">
        <f>IF(Scenarier!E77="Angiv ikke",(1/IF(Scenarier!E71=$N$1,Varmetab!$D$4,IF(Scenarier!E71=$M$1,$D$6,$D$2))),1/(IF(Scenarier!E71=$N$1,Varmetab!$D$4,IF(Scenarier!E71=$M$1,$D$6,$D$2))+IF(Scenarier!E71=$N$1,Varmetab!$D$5,IF(Scenarier!E71=$M$1,$D$7,$D$3))+(Scenarier!F77/Scenarier!G77)))</f>
        <v>0.12080054849978777</v>
      </c>
      <c r="C67" s="835">
        <f>IF(Scenarier!J77="Angiv ikke",(1/IF(Scenarier!E71=$N$1,Varmetab!$D$4,IF(Scenarier!E71=$M$1,$D$6,$D$2))),1/(IF(Scenarier!E71=$N$1,Varmetab!$D$4,IF(Scenarier!E71=$M$1,$D$6,$D$2))+IF(Scenarier!E71=$N$1,Varmetab!$D$5,IF(Scenarier!E71=$M$1,$D$7,$D$3))+(Scenarier!K77/Scenarier!L77)))</f>
        <v>0.1303780964797914</v>
      </c>
      <c r="D67" s="836">
        <f>B67*Scenarier!C77*($H$2-(IF(Scenarier!E71='LCA data'!$B$119,$H$4,$H$3)))*$H$1/1000</f>
        <v>2767.9367919292176</v>
      </c>
      <c r="E67" s="837">
        <f>C67*Scenarier!C77*($H$2-(IF(Scenarier!E71='LCA data'!$B$119,$H$4,$H$3)))*$H$1/1000</f>
        <v>2987.3898305084749</v>
      </c>
      <c r="F67" s="838">
        <f>IFERROR(D67*Scenarier!$Y$24,0)</f>
        <v>138396.83959646089</v>
      </c>
      <c r="G67" s="838">
        <f>IFERROR(E67*Scenarier!$Y$24,0)</f>
        <v>149369.49152542374</v>
      </c>
      <c r="H67" s="839">
        <f>IF(Scenarier!E77="Angiv ikke",0,Antagelser!$C$30*F67/Scenarier!$J$21/Scenarier!$Y$24)</f>
        <v>0.51345227490286982</v>
      </c>
      <c r="I67" s="839">
        <f>IF(Scenarier!J77="Angiv ikke",0,Antagelser!$C$30*G67/Scenarier!$J$21/Scenarier!$Y$24)</f>
        <v>0.55416081355932212</v>
      </c>
      <c r="J67" s="840" t="e">
        <f>((H67-I67)*10^-3)/#REF!</f>
        <v>#REF!</v>
      </c>
    </row>
    <row r="68" spans="1:38" hidden="1" x14ac:dyDescent="0.35">
      <c r="A68" s="10">
        <f>Scenarier!J82</f>
        <v>0</v>
      </c>
      <c r="B68" s="834">
        <f>IF(Scenarier!E88="Angiv ikke",(1/IF(Scenarier!E82=$N$1,Varmetab!$D$4,IF(Scenarier!E82=$M$1,$D$6,$D$2))),1/(IF(Scenarier!E82=$N$1,Varmetab!$D$4,IF(Scenarier!E82=$M$1,$D$6,$D$2))+IF(Scenarier!E82=$N$1,Varmetab!$D$5,IF(Scenarier!E82=$M$1,$D$7,$D$3))+(Scenarier!F88/Scenarier!G88)))</f>
        <v>7.6923076923076916</v>
      </c>
      <c r="C68" s="835">
        <f>IF(Scenarier!J88="Angiv ikke",(1/IF(Scenarier!E82=$N$1,Varmetab!$D$4,IF(Scenarier!E82=$M$1,$D$6,$D$2))),1/(IF(Scenarier!E82=$N$1,Varmetab!$D$4,IF(Scenarier!E82=$M$1,$D$6,$D$2))+IF(Scenarier!E82=$N$1,Varmetab!$D$5,IF(Scenarier!E82=$M$1,$D$7,$D$3))+(Scenarier!K88/Scenarier!L88)))</f>
        <v>7.6923076923076916</v>
      </c>
      <c r="D68" s="836">
        <f>B68*Scenarier!C88*($H$2-(IF(Scenarier!E82='LCA data'!$B$119,$H$4,$H$3)))*$H$1/1000</f>
        <v>0</v>
      </c>
      <c r="E68" s="837">
        <f>C68*Scenarier!C88*($H$2-(IF(Scenarier!E82='LCA data'!$B$119,$H$4,$H$3)))*$H$1/1000</f>
        <v>0</v>
      </c>
      <c r="F68" s="838">
        <f>IFERROR(D68*Scenarier!$Y$24,0)</f>
        <v>0</v>
      </c>
      <c r="G68" s="838">
        <f>IFERROR(E68*Scenarier!$Y$24,0)</f>
        <v>0</v>
      </c>
      <c r="H68" s="839">
        <f>IF(Scenarier!E88="Angiv ikke",0,Antagelser!$C$30*F68/Scenarier!$J$21/Scenarier!$Y$24)</f>
        <v>0</v>
      </c>
      <c r="I68" s="839">
        <f>IF(Scenarier!J88="Angiv ikke",0,Antagelser!$C$30*G68/Scenarier!$J$21/Scenarier!$Y$24)</f>
        <v>0</v>
      </c>
      <c r="J68" s="840" t="e">
        <f>((H68-I68)*10^-3)/#REF!</f>
        <v>#REF!</v>
      </c>
    </row>
    <row r="69" spans="1:38" hidden="1" x14ac:dyDescent="0.35">
      <c r="A69" s="10" t="str">
        <f>Scenarier!I93</f>
        <v>Ydervæg 3</v>
      </c>
      <c r="B69" s="834">
        <f>IF(Scenarier!E99="Angiv ikke",(1/IF(Scenarier!E93=$N$1,Varmetab!$D$4,IF(Scenarier!E93=$M$1,$D$6,$D$2))),1/(IF(Scenarier!E93=$N$1,Varmetab!$D$4,IF(Scenarier!E93=$M$1,$D$6,$D$2))+IF(Scenarier!E93=$N$1,Varmetab!$D$5,IF(Scenarier!E93=$M$1,$D$7,$D$3))+(Scenarier!F99/Scenarier!G99)))</f>
        <v>7.6923076923076916</v>
      </c>
      <c r="C69" s="835">
        <f>IF(Scenarier!J99="Angiv ikke",(1/IF(Scenarier!E93=$N$1,Varmetab!$D$4,IF(Scenarier!E93=$M$1,$D$6,$D$2))),1/(IF(Scenarier!E93=$N$1,Varmetab!$D$4,IF(Scenarier!E93=$M$1,$D$6,$D$2))+IF(Scenarier!E93=$N$1,Varmetab!$D$5,IF(Scenarier!E93=$M$1,$D$7,$D$3))+(Scenarier!K99/Scenarier!L99)))</f>
        <v>7.6923076923076916</v>
      </c>
      <c r="D69" s="836">
        <f>B69*Scenarier!C99*($H$2-(IF(Scenarier!E93='LCA data'!$B$119,$H$4,$H$3)))*$H$1/1000</f>
        <v>0</v>
      </c>
      <c r="E69" s="837">
        <f>C69*Scenarier!C99*($H$2-(IF(Scenarier!E93='LCA data'!$B$119,$H$4,$H$3)))*$H$1/1000</f>
        <v>0</v>
      </c>
      <c r="F69" s="838">
        <f>IFERROR(D69*Scenarier!$Y$24,0)</f>
        <v>0</v>
      </c>
      <c r="G69" s="838">
        <f>IFERROR(E69*Scenarier!$Y$24,0)</f>
        <v>0</v>
      </c>
      <c r="H69" s="839">
        <f>IF(Scenarier!E99="Angiv ikke",0,Antagelser!$C$30*F69/Scenarier!$J$21/Scenarier!$Y$24)</f>
        <v>0</v>
      </c>
      <c r="I69" s="839">
        <f>IF(Scenarier!J99="Angiv ikke",0,Antagelser!$C$30*G69/Scenarier!$J$21/Scenarier!$Y$24)</f>
        <v>0</v>
      </c>
      <c r="J69" s="840" t="e">
        <f>((H69-I69)*10^-3)/#REF!</f>
        <v>#REF!</v>
      </c>
    </row>
    <row r="70" spans="1:38" hidden="1" x14ac:dyDescent="0.35">
      <c r="A70" s="10">
        <f>Scenarier!J104</f>
        <v>0</v>
      </c>
      <c r="B70" s="834">
        <f>IF(Scenarier!E110="Angiv ikke",(1/IF(Scenarier!E104=$N$1,Varmetab!$D$4,IF(Scenarier!E104=$M$1,$D$6,$D$2))),1/(IF(Scenarier!E104=$N$1,Varmetab!$D$4,IF(Scenarier!E104=$M$1,$D$6,$D$2))+IF(Scenarier!E104=$N$1,Varmetab!$D$5,IF(Scenarier!E104=$M$1,$D$7,$D$3))+(Scenarier!F110/Scenarier!G110)))</f>
        <v>7.6923076923076916</v>
      </c>
      <c r="C70" s="834">
        <f>IF(Scenarier!J110="Angiv ikke",(1/IF(Scenarier!F104=$N$1,Varmetab!$D$4,IF(Scenarier!F104=$M$1,$D$6,$D$2))),1/(IF(Scenarier!F94=$N$1,Varmetab!$D$4,IF(Scenarier!F104=$M$1,$D$6,$D$2))+IF(Scenarier!F104=$N$1,Varmetab!$D$5,IF(Scenarier!F104=$M$1,$D$7,$D$3))+(Scenarier!K110/Scenarier!L110)))</f>
        <v>7.6923076923076916</v>
      </c>
      <c r="D70" s="836">
        <f>B70*Scenarier!C110*($H$2-(IF(Scenarier!E104='LCA data'!$B$119,$H$4,$H$3)))*$H$1/1000</f>
        <v>0</v>
      </c>
      <c r="E70" s="837">
        <f>C70*Scenarier!C110*($H$2-(IF(Scenarier!E104='LCA data'!$B$119,$H$4,$H$3)))*$H$1/1000</f>
        <v>0</v>
      </c>
      <c r="F70" s="838">
        <f>IFERROR(D70*Scenarier!$Y$24,0)</f>
        <v>0</v>
      </c>
      <c r="G70" s="838">
        <f>IFERROR(E70*Scenarier!$Y$24,0)</f>
        <v>0</v>
      </c>
      <c r="H70" s="839">
        <f>IF(Scenarier!E110="Angiv ikke",0,Antagelser!$C$30*F70/Scenarier!$J$21/Scenarier!$Y$24)</f>
        <v>0</v>
      </c>
      <c r="I70" s="839">
        <f>IF(Scenarier!J110="Angiv ikke",0,Antagelser!$C$30*G70/Scenarier!$J$21/Scenarier!$Y$24)</f>
        <v>0</v>
      </c>
      <c r="J70" s="840" t="e">
        <f>((H70-I70)*10^-3)/#REF!</f>
        <v>#REF!</v>
      </c>
    </row>
    <row r="71" spans="1:38" hidden="1" x14ac:dyDescent="0.35">
      <c r="A71" s="10">
        <f>Scenarier!J115</f>
        <v>0</v>
      </c>
      <c r="B71" s="834">
        <f>IF(Scenarier!E121="Angiv ikke",(1/IF(Scenarier!E115=$N$1,Varmetab!$D$4,IF(Scenarier!E115=$M$1,$D$6,$D$2))),1/(IF(Scenarier!E115=$N$1,Varmetab!$D$4,IF(Scenarier!E115=$M$1,$D$6,$D$2))+IF(Scenarier!E115=$N$1,Varmetab!$D$5,IF(Scenarier!E115=$M$1,$D$7,$D$3))+(Scenarier!F121/Scenarier!G121)))</f>
        <v>7.6923076923076916</v>
      </c>
      <c r="C71" s="834">
        <f>IF(Scenarier!J121="Angiv ikke",(1/IF(Scenarier!F115=$N$1,Varmetab!$D$4,IF(Scenarier!F115=$M$1,$D$6,$D$2))),1/(IF(Scenarier!F115=$N$1,Varmetab!$D$4,IF(Scenarier!F115=$M$1,$D$6,$D$2))+IF(Scenarier!F115=$N$1,Varmetab!$D$5,IF(Scenarier!F115=$M$1,$D$7,$D$3))+(Scenarier!K121/Scenarier!L121)))</f>
        <v>7.6923076923076916</v>
      </c>
      <c r="D71" s="836">
        <f>B71*Scenarier!C121*($H$2-(IF(Scenarier!E115='LCA data'!$B$119,$H$4,$H$3)))*$H$1/1000</f>
        <v>0</v>
      </c>
      <c r="E71" s="837">
        <f>C71*Scenarier!C121*($H$2-(IF(Scenarier!E115='LCA data'!$B$119,$H$4,$H$3)))*$H$1/1000</f>
        <v>0</v>
      </c>
      <c r="F71" s="838">
        <f>IFERROR(D71*Scenarier!$Y$24,0)</f>
        <v>0</v>
      </c>
      <c r="G71" s="838">
        <f>IFERROR(E71*Scenarier!$Y$24,0)</f>
        <v>0</v>
      </c>
      <c r="H71" s="839">
        <f>IF(Scenarier!E121="Angiv ikke",0,Antagelser!$C$30*F71/Scenarier!$J$21/Scenarier!$Y$24)</f>
        <v>0</v>
      </c>
      <c r="I71" s="839">
        <f>IF(Scenarier!J121="Angiv ikke",0,Antagelser!$C$30*G71/Scenarier!$J$21/Scenarier!$Y$24)</f>
        <v>0</v>
      </c>
      <c r="J71" s="840" t="e">
        <f>((H71-I71)*10^-3)/#REF!</f>
        <v>#REF!</v>
      </c>
    </row>
    <row r="72" spans="1:38" hidden="1" x14ac:dyDescent="0.35">
      <c r="A72" s="10" t="str">
        <f>Scenarier!I138</f>
        <v>Tagkonstruktion 1</v>
      </c>
      <c r="B72" s="834">
        <f>IF(Scenarier!E143="Angiv ikke",(1/IF(Scenarier!E138=$N$1,Varmetab!$D$4,IF(Scenarier!E138=$M$1,$D$6,$D$2))),1/(IF(Scenarier!E138=$N$1,Varmetab!$D$4,IF(Scenarier!E138=$M$1,$D$6,$D$2))+IF(Scenarier!E138=$N$1,Varmetab!$D$5,IF(Scenarier!E138=$M$1,$D$7,$D$3))+(Scenarier!F143/Scenarier!G143)))</f>
        <v>9.1067956385832774E-2</v>
      </c>
      <c r="C72" s="835">
        <f>IF(Scenarier!J143="Angiv ikke",(1/IF(Scenarier!E138=$N$1,Varmetab!$D$4,IF(Scenarier!E138=$M$1,$D$6,$D$2))),1/(IF(Scenarier!E138=$N$1,Varmetab!$D$4,IF(Scenarier!E138=$M$1,$D$6,$D$2))+IF(Scenarier!E138=$N$1,Varmetab!$D$5,IF(Scenarier!E138=$M$1,$D$7,$D$3))+(Scenarier!K143/Scenarier!L143)))</f>
        <v>9.8328416912487712E-2</v>
      </c>
      <c r="D72" s="836">
        <f>B72*Scenarier!C143*($H$2-(IF(Scenarier!E138='LCA data'!$B$119,$H$4,$H$3)))*$H$1/1000</f>
        <v>1486.2290482167909</v>
      </c>
      <c r="E72" s="837">
        <f>C72*Scenarier!C143*($H$2-(IF(Scenarier!E138='LCA data'!$B$119,$H$4,$H$3)))*$H$1/1000</f>
        <v>1604.7197640117993</v>
      </c>
      <c r="F72" s="838">
        <f>IFERROR(D72*Scenarier!$Y$24,0)</f>
        <v>74311.452410839542</v>
      </c>
      <c r="G72" s="838">
        <f>IFERROR(E72*Scenarier!$Y$24,0)</f>
        <v>80235.988200589956</v>
      </c>
      <c r="H72" s="839">
        <f>IF(Scenarier!E143="Angiv ikke",0,Antagelser!$C$30*F72/Scenarier!$J$21/Scenarier!$Y$24)</f>
        <v>0.27569548844421471</v>
      </c>
      <c r="I72" s="839">
        <f>IF(Scenarier!J143="Angiv ikke",0,Antagelser!$C$30*G72/Scenarier!$J$21/Scenarier!$Y$24)</f>
        <v>0.29767551622418875</v>
      </c>
      <c r="J72" s="840" t="e">
        <f>((H72-I72)*10^-3)/#REF!</f>
        <v>#REF!</v>
      </c>
    </row>
    <row r="73" spans="1:38" hidden="1" x14ac:dyDescent="0.35">
      <c r="A73" s="10">
        <f>Scenarier!J148</f>
        <v>0</v>
      </c>
      <c r="B73" s="834">
        <f>IF(Scenarier!E153="Angiv ikke",(1/IF(Scenarier!E148=$N$1,Varmetab!$D$4,IF(Scenarier!E148=$M$1,$D$6,$D$2))),1/(IF(Scenarier!E148=$N$1,Varmetab!$D$4,IF(Scenarier!E148=$M$1,$D$6,$D$2))+IF(Scenarier!E148=$N$1,Varmetab!$D$5,IF(Scenarier!E148=$M$1,$D$7,$D$3))+(Scenarier!F153/Scenarier!G153)))</f>
        <v>7.6923076923076916</v>
      </c>
      <c r="C73" s="835">
        <f>IF(Scenarier!J153="Angiv ikke",(1/IF(Scenarier!E148=$N$1,Varmetab!$D$4,IF(Scenarier!E148=$M$1,$D$6,$D$2))),1/(IF(Scenarier!E148=$N$1,Varmetab!$D$4,IF(Scenarier!E148=$M$1,$D$6,$D$2))+IF(Scenarier!E148=$N$1,Varmetab!$D$5,IF(Scenarier!E148=$M$1,$D$7,$D$3))+(Scenarier!K153/Scenarier!L153)))</f>
        <v>7.6923076923076916</v>
      </c>
      <c r="D73" s="836">
        <f>B73*Scenarier!C153*($H$2-(IF(Scenarier!E148='LCA data'!$B$119,$H$4,$H$3)))*$H$1/1000</f>
        <v>0</v>
      </c>
      <c r="E73" s="837">
        <f>C73*Scenarier!C153*($H$2-(IF(Scenarier!E148='LCA data'!$B$119,$H$4,$H$3)))*$H$1/1000</f>
        <v>0</v>
      </c>
      <c r="F73" s="838">
        <f>IFERROR(D73*Scenarier!$Y$24,0)</f>
        <v>0</v>
      </c>
      <c r="G73" s="838">
        <f>IFERROR(E73*Scenarier!$Y$24,0)</f>
        <v>0</v>
      </c>
      <c r="H73" s="839">
        <f>IF(Scenarier!E153="Angiv ikke",0,Antagelser!$C$30*F73/Scenarier!$J$21/Scenarier!$Y$24)</f>
        <v>0</v>
      </c>
      <c r="I73" s="839">
        <f>IF(Scenarier!J153="Angiv ikke",0,Antagelser!$C$30*G73/Scenarier!$J$21/Scenarier!$Y$24)</f>
        <v>0</v>
      </c>
      <c r="J73" s="840" t="e">
        <f>((H73-I73)*10^-3)/#REF!</f>
        <v>#REF!</v>
      </c>
    </row>
    <row r="74" spans="1:38" hidden="1" x14ac:dyDescent="0.35">
      <c r="A74" s="10">
        <f>Scenarier!J158</f>
        <v>0</v>
      </c>
      <c r="B74" s="834">
        <f>IF(Scenarier!E163="Angiv ikke",(1/IF(Scenarier!E158=$N$1,Varmetab!$D$4,IF(Scenarier!E158=$M$1,$D$6,$D$2))),1/(IF(Scenarier!E158=$N$1,Varmetab!$D$4,IF(Scenarier!E158=$M$1,$D$6,$D$2))+IF(Scenarier!E158=$N$1,Varmetab!$D$5,IF(Scenarier!E158=$M$1,$D$7,$D$3))+(Scenarier!F163/Scenarier!G163)))</f>
        <v>7.6923076923076916</v>
      </c>
      <c r="C74" s="835">
        <f>IF(Scenarier!J163="Angiv ikke",(1/IF(Scenarier!E158=$N$1,Varmetab!$D$4,IF(Scenarier!E158=$M$1,$D$6,$D$2))),1/(IF(Scenarier!E158=$N$1,Varmetab!$D$4,IF(Scenarier!E158=$M$1,$D$6,$D$2))+IF(Scenarier!E158=$N$1,Varmetab!$D$5,IF(Scenarier!E158=$M$1,$D$7,$D$3))+(Scenarier!K163/Scenarier!L163)))</f>
        <v>7.6923076923076916</v>
      </c>
      <c r="D74" s="836">
        <f>B74*Scenarier!C163*($H$2-(IF(Scenarier!E158='LCA data'!$B$119,$H$4,$H$3)))*$H$1/1000</f>
        <v>0</v>
      </c>
      <c r="E74" s="837">
        <f>C74*Scenarier!C163*($H$2-(IF(Scenarier!E158='LCA data'!$B$119,$H$4,$H$3)))*$H$1/1000</f>
        <v>0</v>
      </c>
      <c r="F74" s="838">
        <f>IFERROR(D74*Scenarier!$Y$24,0)</f>
        <v>0</v>
      </c>
      <c r="G74" s="838">
        <f>IFERROR(E74*Scenarier!$Y$24,0)</f>
        <v>0</v>
      </c>
      <c r="H74" s="839">
        <f>IF(Scenarier!E62="Angiv ikke",0,Antagelser!$C$30*F74/Scenarier!$J$21/Scenarier!$Y$24)</f>
        <v>0</v>
      </c>
      <c r="I74" s="839">
        <f>IF(Scenarier!J163="Angiv ikke",0,Antagelser!$C$30*G74/Scenarier!$J$21/Scenarier!$Y$24)</f>
        <v>0</v>
      </c>
      <c r="J74" s="840" t="e">
        <f>((H74-I74)*10^-3)/#REF!</f>
        <v>#REF!</v>
      </c>
    </row>
    <row r="75" spans="1:38" hidden="1" x14ac:dyDescent="0.35">
      <c r="A75" s="10">
        <f>Scenarier!J168</f>
        <v>0</v>
      </c>
      <c r="B75" s="834">
        <f>IF(Scenarier!E173="Angiv ikke",(1/IF(Scenarier!E168=$N$1,Varmetab!$D$4,IF(Scenarier!E168=$M$1,$D$6,$D$2))),1/(IF(Scenarier!E168=$N$1,Varmetab!$D$4,IF(Scenarier!E168=$M$1,$D$6,$D$2))+IF(Scenarier!E168=$N$1,Varmetab!$D$5,IF(Scenarier!E168=$M$1,$D$7,$D$3))+(Scenarier!F173/Scenarier!G173)))</f>
        <v>7.6923076923076916</v>
      </c>
      <c r="C75" s="835">
        <f>IF(Scenarier!J173="Angiv ikke",(1/IF(Scenarier!E168=$N$1,Varmetab!$D$4,IF(Scenarier!E168=$M$1,$D$6,$D$2))),1/(IF(Scenarier!E168=$N$1,Varmetab!$D$4,IF(Scenarier!E168=$M$1,$D$6,$D$2))+IF(Scenarier!E168=$N$1,Varmetab!$D$5,IF(Scenarier!E168=$M$1,$D$7,$D$3))+(Scenarier!K173/Scenarier!L173)))</f>
        <v>7.6923076923076916</v>
      </c>
      <c r="D75" s="836">
        <f>B75*Scenarier!C173*($H$2-(IF(Scenarier!E168='LCA data'!$B$119,$H$4,$H$3)))*$H$1/1000</f>
        <v>0</v>
      </c>
      <c r="E75" s="837">
        <f>C75*Scenarier!C173*($H$2-(IF(Scenarier!E168='LCA data'!$B$119,$H$4,$H$3)))*$H$1/1000</f>
        <v>0</v>
      </c>
      <c r="F75" s="838">
        <f>IFERROR(D75*Scenarier!$Y$24,0)</f>
        <v>0</v>
      </c>
      <c r="G75" s="838">
        <f>IFERROR(E75*Scenarier!$Y$24,0)</f>
        <v>0</v>
      </c>
      <c r="H75" s="839">
        <f>IF(Scenarier!E173="Angiv ikke",0,Antagelser!$C$30*F75/Scenarier!$J$21/Scenarier!$Y$24)</f>
        <v>0</v>
      </c>
      <c r="I75" s="839">
        <f>IF(Scenarier!J173="Angiv ikke",0,Antagelser!$C$30*G75/Scenarier!$J$21/Scenarier!$Y$24)</f>
        <v>0</v>
      </c>
      <c r="J75" s="840" t="e">
        <f>((H75-I75)*10^-3)/#REF!</f>
        <v>#REF!</v>
      </c>
    </row>
    <row r="76" spans="1:38" hidden="1" x14ac:dyDescent="0.35">
      <c r="A76" s="10">
        <f>Scenarier!J178</f>
        <v>0</v>
      </c>
      <c r="B76" s="834">
        <f>IF(Scenarier!E183="Angiv ikke",(1/IF(Scenarier!E178=$N$1,Varmetab!$D$4,IF(Scenarier!E178=$M$1,$D$6,$D$2))),1/(IF(Scenarier!E178=$N$1,Varmetab!$D$4,IF(Scenarier!E178=$M$1,$D$6,$D$2))+IF(Scenarier!E178=$N$1,Varmetab!$D$5,IF(Scenarier!E178=$M$1,$D$7,$D$3))+(Scenarier!F183/Scenarier!G183)))</f>
        <v>7.6923076923076916</v>
      </c>
      <c r="C76" s="835">
        <f>IF(Scenarier!J183="Angiv ikke",(1/IF(Scenarier!E178=$N$1,Varmetab!$D$4,IF(Scenarier!E178=$M$1,$D$6,$D$2))),1/(IF(Scenarier!E178=$N$1,Varmetab!$D$4,IF(Scenarier!E178=$M$1,$D$6,$D$2))+IF(Scenarier!E178=$N$1,Varmetab!$D$5,IF(Scenarier!E178=$M$1,$D$7,$D$3))+(Scenarier!K183/Scenarier!L183)))</f>
        <v>7.6923076923076916</v>
      </c>
      <c r="D76" s="836">
        <f>B76*Scenarier!C183*($H$2-(IF(Scenarier!E178='LCA data'!$B$119,$H$4,$H$3)))*$H$1/1000</f>
        <v>0</v>
      </c>
      <c r="E76" s="837">
        <f>C76*Scenarier!C183*($H$2-(IF(Scenarier!E178='LCA data'!$B$119,$H$4,$H$3)))*$H$1/1000</f>
        <v>0</v>
      </c>
      <c r="F76" s="838">
        <f>IFERROR(D76*Scenarier!$Y$24,0)</f>
        <v>0</v>
      </c>
      <c r="G76" s="838">
        <f>IFERROR(E76*Scenarier!$Y$24,0)</f>
        <v>0</v>
      </c>
      <c r="H76" s="839">
        <f>IF(Scenarier!E183="Angiv ikke",0,Antagelser!$C$30*F76/Scenarier!$J$21/Scenarier!$Y$24)</f>
        <v>0</v>
      </c>
      <c r="I76" s="839">
        <f>IF(Scenarier!J183="Angiv ikke",0,Antagelser!$C$30*G76/Scenarier!$J$21/Scenarier!$Y$24)</f>
        <v>0</v>
      </c>
      <c r="J76" s="840" t="e">
        <f>((H76-I76)*10^-3)/#REF!</f>
        <v>#REF!</v>
      </c>
    </row>
    <row r="77" spans="1:38" hidden="1" x14ac:dyDescent="0.35">
      <c r="A77" s="10" t="str">
        <f>Scenarier!I198</f>
        <v>Terrændæk 1</v>
      </c>
      <c r="B77" s="834">
        <f>IF(Scenarier!E203="Angiv ikke",(1/IF(Scenarier!E198=$N$1,Varmetab!$D$4,IF(Scenarier!E198=$M$1,$D$6,$D$2))),1/(IF(Scenarier!E198=$N$1,Varmetab!$D$4,IF(Scenarier!E198=$M$1,$D$6,$D$2))+IF(Scenarier!E198=$N$1,Varmetab!$D$5,IF(Scenarier!E198=$M$1,$D$7,$D$3))+(Scenarier!F203/Scenarier!G203)))</f>
        <v>0.10185976210816848</v>
      </c>
      <c r="C77" s="835">
        <f>IF(Scenarier!J203="Angiv ikke",(1/IF(Scenarier!E198=$N$1,Varmetab!$D$4,IF(Scenarier!E198=$M$1,$D$6,$D$2))),1/(IF(Scenarier!E198=$N$1,Varmetab!$D$4,IF(Scenarier!E198=$M$1,$D$6,$D$2))+IF(Scenarier!E198=$N$1,Varmetab!$D$5,IF(Scenarier!E198=$M$1,$D$7,$D$3))+(Scenarier!K203/Scenarier!L203)))</f>
        <v>0.10509721492380451</v>
      </c>
      <c r="D77" s="836">
        <f>B77*Scenarier!C203*($H$2-(IF(Scenarier!E198='LCA data'!$B$119,$H$4,$H$3)))*$H$1/1000</f>
        <v>1038.9695735033185</v>
      </c>
      <c r="E77" s="837">
        <f>C77*Scenarier!C203*($H$2-(IF(Scenarier!E198='LCA data'!$B$119,$H$4,$H$3)))*$H$1/1000</f>
        <v>1071.991592222806</v>
      </c>
      <c r="F77" s="838">
        <f>IFERROR(D77*Scenarier!$Y$24,0)</f>
        <v>51948.478675165927</v>
      </c>
      <c r="G77" s="838">
        <f>IFERROR(E77*Scenarier!$Y$24,0)</f>
        <v>53599.579611140303</v>
      </c>
      <c r="H77" s="839">
        <f>IF(Scenarier!E203="Angiv ikke",0,Antagelser!$C$30*F77/Scenarier!$J$21/Scenarier!$Y$24)</f>
        <v>0.1927288558848656</v>
      </c>
      <c r="I77" s="839">
        <f>IF(Scenarier!J203="Angiv ikke",0,Antagelser!$C$30*G77/Scenarier!$J$21/Scenarier!$Y$24)</f>
        <v>0.19885444035733052</v>
      </c>
      <c r="J77" s="840" t="e">
        <f>((H77-I77)*10^-3)/#REF!</f>
        <v>#REF!</v>
      </c>
    </row>
    <row r="78" spans="1:38" hidden="1" x14ac:dyDescent="0.35">
      <c r="A78" s="10">
        <f>Scenarier!J208</f>
        <v>0</v>
      </c>
      <c r="B78" s="834">
        <f>IF(Scenarier!E213="Angiv ikke",(1/IF(Scenarier!E208=$N$1,Varmetab!$D$4,IF(Scenarier!E208=$M$1,$D$6,$D$2))),1/(IF(Scenarier!E208=$N$1,Varmetab!$D$4,IF(Scenarier!E208=$M$1,$D$6,$D$2))+IF(Scenarier!E208=$N$1,Varmetab!$D$5,IF(Scenarier!E208=$M$1,$D$7,$D$3))+(Scenarier!F213/Scenarier!G213)))</f>
        <v>10</v>
      </c>
      <c r="C78" s="835">
        <f>IF(Scenarier!J213="Angiv ikke",(1/IF(Scenarier!E208=$N$1,Varmetab!$D$4,IF(Scenarier!E208=$M$1,$D$6,$D$2))),1/(IF(Scenarier!E208=$N$1,Varmetab!$D$4,IF(Scenarier!E208=$M$1,$D$6,$D$2))+IF(Scenarier!E208=$N$1,Varmetab!$D$5,IF(Scenarier!E208=$M$1,$D$7,$D$3))+(Scenarier!K213/Scenarier!L213)))</f>
        <v>10</v>
      </c>
      <c r="D78" s="836">
        <f>B78*Scenarier!C213*($H$2-(IF(Scenarier!E208='LCA data'!$B$119,$H$4,$H$3)))*$H$1/1000</f>
        <v>0</v>
      </c>
      <c r="E78" s="837">
        <f>C78*Scenarier!C213*($H$2-(IF(Scenarier!E208='LCA data'!$B$119,$H$4,$H$3)))*$H$1/1000</f>
        <v>0</v>
      </c>
      <c r="F78" s="838">
        <f>IFERROR(D78*Scenarier!$Y$24,0)</f>
        <v>0</v>
      </c>
      <c r="G78" s="838">
        <f>IFERROR(E78*Scenarier!$Y$24,0)</f>
        <v>0</v>
      </c>
      <c r="H78" s="839">
        <f>IF(Scenarier!E213="Angiv ikke",0,Antagelser!$C$30*F78/Scenarier!$J$21/Scenarier!$Y$24)</f>
        <v>0</v>
      </c>
      <c r="I78" s="839">
        <f>IF(Scenarier!J213="Angiv ikke",0,Antagelser!$C$30*G78/Scenarier!$J$21/Scenarier!$Y$24)</f>
        <v>0</v>
      </c>
      <c r="J78" s="840" t="e">
        <f>((H78-I78)*10^-3)/#REF!</f>
        <v>#REF!</v>
      </c>
    </row>
    <row r="79" spans="1:38" hidden="1" x14ac:dyDescent="0.35">
      <c r="A79" s="10">
        <f>Scenarier!J218</f>
        <v>0</v>
      </c>
      <c r="B79" s="834">
        <f>IF(Scenarier!E223="Angiv ikke",(1/IF(Scenarier!E218=$N$1,Varmetab!$D$4,IF(Scenarier!E218=$M$1,$D$6,$D$2))),1/(IF(Scenarier!E218=$N$1,Varmetab!$D$4,IF(Scenarier!E218=$M$1,$D$6,$D$2))+IF(Scenarier!E218=$N$1,Varmetab!$D$5,IF(Scenarier!E218=$M$1,$D$7,$D$3))+(Scenarier!F223/Scenarier!G223)))</f>
        <v>10</v>
      </c>
      <c r="C79" s="835">
        <f>IF(Scenarier!J223="Angiv ikke",(1/IF(Scenarier!E218=$N$1,Varmetab!$D$4,IF(Scenarier!E218=$M$1,$D$6,$D$2))),1/(IF(Scenarier!E218=$N$1,Varmetab!$D$4,IF(Scenarier!E218=$M$1,$D$6,$D$2))+IF(Scenarier!E218=$N$1,Varmetab!$D$5,IF(Scenarier!E218=$M$1,$D$7,$D$3))+(Scenarier!K223/Scenarier!L223)))</f>
        <v>10</v>
      </c>
      <c r="D79" s="836">
        <f>B79*Scenarier!C223*($H$2-(IF(Scenarier!E218='LCA data'!$B$119,$H$4,$H$3)))*$H$1/1000</f>
        <v>0</v>
      </c>
      <c r="E79" s="837">
        <f>C79*Scenarier!C223*($H$2-(IF(Scenarier!E218='LCA data'!$B$119,$H$4,$H$3)))*$H$1/1000</f>
        <v>0</v>
      </c>
      <c r="F79" s="838">
        <f>IFERROR(D79*Scenarier!$Y$24,0)</f>
        <v>0</v>
      </c>
      <c r="G79" s="838">
        <f>IFERROR(E79*Scenarier!$Y$24,0)</f>
        <v>0</v>
      </c>
      <c r="H79" s="839">
        <f>IF(Scenarier!E223="Angiv ikke",0,Antagelser!$C$30*F79/Scenarier!$J$21/Scenarier!$Y$24)</f>
        <v>0</v>
      </c>
      <c r="I79" s="839">
        <f>IF(Scenarier!J223="Angiv ikke",0,Antagelser!$C$30*G79/Scenarier!$J$21/Scenarier!$Y$24)</f>
        <v>0</v>
      </c>
      <c r="J79" s="840" t="e">
        <f>((H79-I79)*10^-3)/#REF!</f>
        <v>#REF!</v>
      </c>
    </row>
    <row r="80" spans="1:38" hidden="1" x14ac:dyDescent="0.35">
      <c r="A80" s="10">
        <f>Scenarier!J228</f>
        <v>0</v>
      </c>
      <c r="B80" s="834">
        <f>IF(Scenarier!E233="Angiv ikke",(1/IF(Scenarier!E228=$N$1,Varmetab!$D$4,IF(Scenarier!E228=$M$1,$D$6,$D$2))),1/(IF(Scenarier!E228=$N$1,Varmetab!$D$4,IF(Scenarier!E228=$M$1,$D$6,$D$2))+IF(Scenarier!E228=$N$1,Varmetab!$D$5,IF(Scenarier!E228=$M$1,$D$7,$D$3))+(Scenarier!F233/Scenarier!G233)))</f>
        <v>10</v>
      </c>
      <c r="C80" s="835">
        <f>IF(Scenarier!J233="Angiv ikke",(1/IF(Scenarier!E228=$N$1,Varmetab!$D$4,IF(Scenarier!E228=$M$1,$D$6,$D$2))),1/(IF(Scenarier!E228=$N$1,Varmetab!$D$4,IF(Scenarier!E228=$M$1,$D$6,$D$2))+IF(Scenarier!E228=$N$1,Varmetab!$D$5,IF(Scenarier!E228=$M$1,$D$7,$D$3))+(Scenarier!K233/Scenarier!L233)))</f>
        <v>10</v>
      </c>
      <c r="D80" s="836">
        <f>B80*Scenarier!C233*($H$2-(IF(Scenarier!E228='LCA data'!$B$119,$H$4,$H$3)))*$H$1/1000</f>
        <v>0</v>
      </c>
      <c r="E80" s="837">
        <f>C80*Scenarier!C233*($H$2-(IF(Scenarier!E228='LCA data'!$B$119,$H$4,$H$3)))*$H$1/1000</f>
        <v>0</v>
      </c>
      <c r="F80" s="838">
        <f>IFERROR(D80*Scenarier!$Y$24,0)</f>
        <v>0</v>
      </c>
      <c r="G80" s="838">
        <f>IFERROR(E80*Scenarier!$Y$24,0)</f>
        <v>0</v>
      </c>
      <c r="H80" s="839">
        <f>IF(Scenarier!E233="Angiv ikke",0,Antagelser!$C$30*F80/Scenarier!$J$21/Scenarier!$Y$24)</f>
        <v>0</v>
      </c>
      <c r="I80" s="839">
        <f>IF(Scenarier!J233="Angiv ikke",0,Antagelser!$C$30*G80/Scenarier!$J$21/Scenarier!$Y$24)</f>
        <v>0</v>
      </c>
      <c r="J80" s="840" t="e">
        <f>((H80-I80)*10^-3)/#REF!</f>
        <v>#REF!</v>
      </c>
    </row>
    <row r="81" spans="1:33" hidden="1" x14ac:dyDescent="0.35">
      <c r="A81" s="10">
        <f>Scenarier!J238</f>
        <v>0</v>
      </c>
      <c r="B81" s="834">
        <f>IF(Scenarier!E243="Angiv ikke",(1/IF(Scenarier!E238=$N$1,Varmetab!$D$4,IF(Scenarier!E238=$M$1,$D$6,$D$2))),1/(IF(Scenarier!E238=$N$1,Varmetab!$D$4,IF(Scenarier!E238=$M$1,$D$6,$D$2))+IF(Scenarier!E238=$N$1,Varmetab!$D$5,IF(Scenarier!E238=$M$1,$D$7,$D$3))+(Scenarier!F243/Scenarier!G243)))</f>
        <v>10</v>
      </c>
      <c r="C81" s="835">
        <f>IF(Scenarier!J243="Angiv ikke",(1/IF(Scenarier!E238=$N$1,Varmetab!$D$4,IF(Scenarier!E238=$M$1,$D$6,$D$2))),1/(IF(Scenarier!E238=$N$1,Varmetab!$D$4,IF(Scenarier!E238=$M$1,$D$6,$D$2))+IF(Scenarier!E238=$N$1,Varmetab!$D$5,IF(Scenarier!E238=$M$1,$D$7,$D$3))+(Scenarier!K243/Scenarier!L243)))</f>
        <v>10</v>
      </c>
      <c r="D81" s="836">
        <f>B81*Scenarier!C243*($H$2-(IF(Scenarier!E238='LCA data'!$B$119,$H$4,$H$3)))*$H$1/1000</f>
        <v>0</v>
      </c>
      <c r="E81" s="837">
        <f>C81*Scenarier!C243*($H$2-(IF(Scenarier!E238='LCA data'!$B$119,$H$4,$H$3)))*$H$1/1000</f>
        <v>0</v>
      </c>
      <c r="F81" s="838">
        <f>IFERROR(D81*Scenarier!$Y$24,0)</f>
        <v>0</v>
      </c>
      <c r="G81" s="838">
        <f>IFERROR(E81*Scenarier!$Y$24,0)</f>
        <v>0</v>
      </c>
      <c r="H81" s="839">
        <f>IF(Scenarier!E243="Angiv ikke",0,Antagelser!$C$30*F81/Scenarier!$J$21/Scenarier!$Y$24)</f>
        <v>0</v>
      </c>
      <c r="I81" s="839">
        <f>IF(Scenarier!J243="Angiv ikke",0,Antagelser!$C$30*G81/Scenarier!$J$21/Scenarier!$Y$24)</f>
        <v>0</v>
      </c>
      <c r="J81" s="840" t="e">
        <f>((H81-I81)*10^-3)/#REF!</f>
        <v>#REF!</v>
      </c>
    </row>
    <row r="82" spans="1:33" hidden="1" x14ac:dyDescent="0.35">
      <c r="A82" s="10" t="str">
        <f>Scenarier!I283</f>
        <v>Vinduestype 1</v>
      </c>
      <c r="B82" s="834">
        <f>Scenarier!D288</f>
        <v>0.8</v>
      </c>
      <c r="C82" s="841">
        <f>Scenarier!I288</f>
        <v>0.8</v>
      </c>
      <c r="D82" s="836">
        <f>B82*Scenarier!C287*($H$2-(IF(Scenarier!E283='LCA data'!$B$119,$H$4,$H$3)))*$H$1/1000</f>
        <v>5170.1760000000013</v>
      </c>
      <c r="E82" s="837">
        <f>C82*Scenarier!C287*($H$2-(IF(Scenarier!E283='LCA data'!$B$119,$H$4,$H$3)))*$H$1/1000</f>
        <v>5170.1760000000013</v>
      </c>
      <c r="F82" s="838">
        <f>IFERROR(D82*Scenarier!$Y$24,0)</f>
        <v>258508.80000000008</v>
      </c>
      <c r="G82" s="838">
        <f>IFERROR(E82*Scenarier!$Y$24,0)</f>
        <v>258508.80000000008</v>
      </c>
      <c r="H82" s="839">
        <f>IF(Scenarier!D287="Angiv ikke",0,Antagelser!$C$30*F82/Scenarier!$J$21/Scenarier!$Y$24)</f>
        <v>0.95906764800000033</v>
      </c>
      <c r="I82" s="839">
        <f>IF(Scenarier!I287="Angiv ikke",0,Antagelser!$C$30*G82/Scenarier!$J$21/Scenarier!$Y$24)</f>
        <v>0.95906764800000033</v>
      </c>
      <c r="J82" s="840" t="e">
        <f>((H82-I82)*10^-3)/#REF!</f>
        <v>#REF!</v>
      </c>
    </row>
    <row r="83" spans="1:33" hidden="1" x14ac:dyDescent="0.35">
      <c r="A83" s="10">
        <f>Scenarier!J293</f>
        <v>0</v>
      </c>
      <c r="B83" s="834" t="str">
        <f>Scenarier!D298</f>
        <v/>
      </c>
      <c r="C83" s="841" t="str">
        <f>Scenarier!I298</f>
        <v/>
      </c>
      <c r="D83" s="836" t="e">
        <f>B83*Scenarier!C297*($H$2-(IF(Scenarier!E293='LCA data'!$B$119,$H$4,$H$3)))*$H$1/1000</f>
        <v>#VALUE!</v>
      </c>
      <c r="E83" s="837" t="e">
        <f>C83*Scenarier!C297*($H$2-(IF(Scenarier!E293='LCA data'!$B$119,$H$4,$H$3)))*$H$1/1000</f>
        <v>#VALUE!</v>
      </c>
      <c r="F83" s="838">
        <f>IFERROR(D83*Scenarier!$Y$24,0)</f>
        <v>0</v>
      </c>
      <c r="G83" s="838">
        <f>IFERROR(E83*Scenarier!$Y$24,0)</f>
        <v>0</v>
      </c>
      <c r="H83" s="839">
        <f>IF(Scenarier!D297="Angiv ikke",0,Antagelser!$C$30*F83/Scenarier!$J$21/Scenarier!$Y$24)</f>
        <v>0</v>
      </c>
      <c r="I83" s="839">
        <f>IF(Scenarier!I297="Angiv ikke",0,Antagelser!$C$30*G83/Scenarier!$J$21/Scenarier!$Y$24)</f>
        <v>0</v>
      </c>
      <c r="J83" s="840" t="e">
        <f>((H83-I83)*10^-3)/#REF!</f>
        <v>#REF!</v>
      </c>
    </row>
    <row r="84" spans="1:33" hidden="1" x14ac:dyDescent="0.35">
      <c r="A84" s="10">
        <f>Scenarier!J302</f>
        <v>0</v>
      </c>
      <c r="B84" s="834">
        <f>Scenarier!E307</f>
        <v>0</v>
      </c>
      <c r="C84" s="841">
        <f>Scenarier!J307</f>
        <v>0</v>
      </c>
      <c r="D84" s="836">
        <f>B84*Scenarier!C306*($H$2-(IF(Scenarier!E302='LCA data'!$B$119,$H$4,$H$3)))*$H$1/1000</f>
        <v>0</v>
      </c>
      <c r="E84" s="837">
        <f>C84*Scenarier!C306*($H$2-(IF(Scenarier!E302='LCA data'!$B$119,$H$4,$H$3)))*$H$1/1000</f>
        <v>0</v>
      </c>
      <c r="F84" s="838">
        <f>IFERROR(D84*Scenarier!$Y$24,0)</f>
        <v>0</v>
      </c>
      <c r="G84" s="838">
        <f>IFERROR(E84*Scenarier!$Y$24,0)</f>
        <v>0</v>
      </c>
      <c r="H84" s="839">
        <f>IF(Scenarier!D306="Angiv ikke",0,Antagelser!$C$30*F84/Scenarier!$J$21/Scenarier!$Y$24)</f>
        <v>0</v>
      </c>
      <c r="I84" s="839">
        <f>IF(Scenarier!I306="Angiv ikke",0,Antagelser!$C$30*G84/Scenarier!$J$21/Scenarier!$Y$24)</f>
        <v>0</v>
      </c>
      <c r="J84" s="840" t="e">
        <f>((H84-I84)*10^-3)/#REF!</f>
        <v>#REF!</v>
      </c>
    </row>
    <row r="85" spans="1:33" hidden="1" x14ac:dyDescent="0.35">
      <c r="A85" s="10">
        <f>Scenarier!J311</f>
        <v>0</v>
      </c>
      <c r="B85" s="834">
        <f>Scenarier!E316</f>
        <v>0</v>
      </c>
      <c r="C85" s="841">
        <f>Scenarier!J316</f>
        <v>0</v>
      </c>
      <c r="D85" s="836">
        <f>B85*Scenarier!C315*($H$2-(IF(Scenarier!E311='LCA data'!$B$119,$H$4,$H$3)))*$H$1/1000</f>
        <v>0</v>
      </c>
      <c r="E85" s="837">
        <f>C85*Scenarier!C315*($H$2-(IF(Scenarier!E311='LCA data'!$B$119,$H$4,$H$3)))*$H$1/1000</f>
        <v>0</v>
      </c>
      <c r="F85" s="838">
        <f>IFERROR(D85*Scenarier!$Y$24,0)</f>
        <v>0</v>
      </c>
      <c r="G85" s="838">
        <f>IFERROR(E85*Scenarier!$Y$24,0)</f>
        <v>0</v>
      </c>
      <c r="H85" s="839">
        <f>IF(Scenarier!D315="Angiv ikke",0,Antagelser!$C$30*F85/Scenarier!$J$21/Scenarier!$Y$24)</f>
        <v>0</v>
      </c>
      <c r="I85" s="839">
        <f>IF(Scenarier!I315="Angiv ikke",0,Antagelser!$C$30*G85/Scenarier!$J$21/Scenarier!$Y$24)</f>
        <v>0</v>
      </c>
      <c r="J85" s="840" t="e">
        <f>((H85-I85)*10^-3)/#REF!</f>
        <v>#REF!</v>
      </c>
    </row>
    <row r="86" spans="1:33" hidden="1" x14ac:dyDescent="0.35">
      <c r="A86" s="10">
        <f>Scenarier!J320</f>
        <v>0</v>
      </c>
      <c r="B86" s="834">
        <f>Scenarier!E325</f>
        <v>0</v>
      </c>
      <c r="C86" s="841">
        <f>Scenarier!J325</f>
        <v>0</v>
      </c>
      <c r="D86" s="836">
        <f>B86*Scenarier!C324*($H$2-(IF(Scenarier!E320='LCA data'!$B$119,$H$4,$H$3)))*$H$1/1000</f>
        <v>0</v>
      </c>
      <c r="E86" s="837">
        <f>C86*Scenarier!C324*($H$2-(IF(Scenarier!E320='LCA data'!$B$119,$H$4,$H$3)))*$H$1/1000</f>
        <v>0</v>
      </c>
      <c r="F86" s="838">
        <f>IFERROR(D86*Scenarier!$Y$24,0)</f>
        <v>0</v>
      </c>
      <c r="G86" s="838">
        <f>IFERROR(E86*Scenarier!$Y$24,0)</f>
        <v>0</v>
      </c>
      <c r="H86" s="839">
        <f>IF(Scenarier!D324="Angiv ikke",0,Antagelser!$C$30*F86/Scenarier!$J$21/Scenarier!$Y$24)</f>
        <v>0</v>
      </c>
      <c r="I86" s="839">
        <f>IF(Scenarier!I324="Angiv ikke",0,Antagelser!$C$30*G86/Scenarier!$J$21/Scenarier!$Y$24)</f>
        <v>0</v>
      </c>
      <c r="J86" s="840" t="e">
        <f>((H86-I86)*10^-3)/#REF!</f>
        <v>#REF!</v>
      </c>
    </row>
    <row r="87" spans="1:33" hidden="1" x14ac:dyDescent="0.35">
      <c r="A87" s="134" t="str">
        <f>B111</f>
        <v>Varmerør 1</v>
      </c>
      <c r="B87" s="842"/>
      <c r="C87" s="843"/>
      <c r="D87" s="844"/>
      <c r="E87" s="845"/>
      <c r="F87" s="846"/>
      <c r="G87" s="847"/>
      <c r="H87" s="848">
        <f>IFERROR(Y111,0)</f>
        <v>0</v>
      </c>
      <c r="I87" s="849">
        <f>IFERROR(Y112,0)</f>
        <v>0</v>
      </c>
      <c r="J87" s="840" t="e">
        <f>((H87-I87)*10^-3)/#REF!</f>
        <v>#REF!</v>
      </c>
    </row>
    <row r="88" spans="1:33" hidden="1" x14ac:dyDescent="0.35">
      <c r="A88" s="134" t="str">
        <f>B113</f>
        <v>Varmerør 2</v>
      </c>
      <c r="B88" s="842"/>
      <c r="C88" s="843"/>
      <c r="D88" s="844"/>
      <c r="E88" s="845"/>
      <c r="F88" s="846"/>
      <c r="G88" s="847"/>
      <c r="H88" s="848">
        <f>IFERROR(Y113,0)</f>
        <v>0</v>
      </c>
      <c r="I88" s="849">
        <f>IFERROR(Y114,0)</f>
        <v>0</v>
      </c>
      <c r="J88" s="840" t="e">
        <f>((H88-I88)*10^-3)/#REF!</f>
        <v>#REF!</v>
      </c>
    </row>
    <row r="89" spans="1:33" hidden="1" x14ac:dyDescent="0.35">
      <c r="A89" s="134" t="str">
        <f>B115</f>
        <v>Varmerør 3</v>
      </c>
      <c r="B89" s="842"/>
      <c r="C89" s="843"/>
      <c r="D89" s="844"/>
      <c r="E89" s="845"/>
      <c r="F89" s="846"/>
      <c r="G89" s="847"/>
      <c r="H89" s="848">
        <f>IFERROR(Y115,0)</f>
        <v>0</v>
      </c>
      <c r="I89" s="849">
        <f>IFERROR(Y116,0)</f>
        <v>0</v>
      </c>
      <c r="J89" s="840" t="e">
        <f>((H89-I89)*10^-3)/#REF!</f>
        <v>#REF!</v>
      </c>
    </row>
    <row r="90" spans="1:33" hidden="1" x14ac:dyDescent="0.35">
      <c r="A90" s="134" t="str">
        <f>B117</f>
        <v>Varmerør 4</v>
      </c>
      <c r="B90" s="842"/>
      <c r="C90" s="843"/>
      <c r="D90" s="844"/>
      <c r="E90" s="845"/>
      <c r="F90" s="846"/>
      <c r="G90" s="847"/>
      <c r="H90" s="848">
        <f>IFERROR(Y117,0)</f>
        <v>0</v>
      </c>
      <c r="I90" s="849">
        <f>IFERROR(Y118,0)</f>
        <v>0</v>
      </c>
      <c r="J90" s="840" t="e">
        <f>((H90-I90)*10^-3)/#REF!</f>
        <v>#REF!</v>
      </c>
    </row>
    <row r="91" spans="1:33" hidden="1" x14ac:dyDescent="0.35">
      <c r="A91" s="134" t="str">
        <f>B119</f>
        <v>Varmerør 5</v>
      </c>
      <c r="B91" s="850"/>
      <c r="C91" s="851"/>
      <c r="D91" s="852"/>
      <c r="E91" s="853"/>
      <c r="F91" s="854"/>
      <c r="G91" s="855"/>
      <c r="H91" s="856">
        <f>IFERROR(Y119,0)</f>
        <v>0</v>
      </c>
      <c r="I91" s="857">
        <f>IFERROR(Y120,0)</f>
        <v>0</v>
      </c>
      <c r="J91" s="840" t="e">
        <f>((H91-I91)*10^-3)/#REF!</f>
        <v>#REF!</v>
      </c>
    </row>
    <row r="92" spans="1:33" hidden="1" x14ac:dyDescent="0.35">
      <c r="B92" s="858"/>
      <c r="C92" s="828"/>
      <c r="D92" s="829"/>
      <c r="E92" s="829"/>
      <c r="J92" s="840" t="e">
        <f>((H92-I92)*10^-3)/#REF!</f>
        <v>#REF!</v>
      </c>
      <c r="AB92" t="s">
        <v>175</v>
      </c>
      <c r="AG92" t="s">
        <v>176</v>
      </c>
    </row>
    <row r="93" spans="1:33" hidden="1" x14ac:dyDescent="0.35">
      <c r="E93" s="829"/>
      <c r="AA93" t="s">
        <v>177</v>
      </c>
      <c r="AB93">
        <v>16.3</v>
      </c>
      <c r="AC93" s="823" t="s">
        <v>178</v>
      </c>
      <c r="AF93" t="s">
        <v>179</v>
      </c>
      <c r="AG93">
        <v>304</v>
      </c>
    </row>
    <row r="94" spans="1:33" hidden="1" x14ac:dyDescent="0.35">
      <c r="B94" s="858"/>
      <c r="C94" s="828"/>
      <c r="D94" s="829"/>
      <c r="E94" s="829"/>
      <c r="J94" s="847"/>
      <c r="AA94" t="s">
        <v>180</v>
      </c>
      <c r="AB94">
        <v>385</v>
      </c>
      <c r="AC94" s="823" t="s">
        <v>181</v>
      </c>
      <c r="AF94" t="s">
        <v>180</v>
      </c>
      <c r="AG94">
        <v>8920</v>
      </c>
    </row>
    <row r="95" spans="1:33" hidden="1" x14ac:dyDescent="0.35">
      <c r="B95" s="858"/>
      <c r="C95" s="828"/>
      <c r="D95" s="829"/>
      <c r="E95" s="829"/>
      <c r="J95" s="847"/>
      <c r="N95" s="823"/>
      <c r="AA95" t="s">
        <v>182</v>
      </c>
      <c r="AB95">
        <v>0.4</v>
      </c>
      <c r="AC95" s="823" t="s">
        <v>183</v>
      </c>
      <c r="AF95" t="s">
        <v>182</v>
      </c>
      <c r="AG95">
        <v>30</v>
      </c>
    </row>
    <row r="96" spans="1:33" hidden="1" x14ac:dyDescent="0.35">
      <c r="E96" s="829"/>
      <c r="J96" s="847"/>
      <c r="N96" s="823"/>
      <c r="AA96" t="str">
        <f>V123</f>
        <v>aluPEX</v>
      </c>
      <c r="AB96" s="859">
        <v>0.86</v>
      </c>
      <c r="AC96" s="823" t="s">
        <v>184</v>
      </c>
      <c r="AF96" t="s">
        <v>185</v>
      </c>
      <c r="AG96">
        <v>900</v>
      </c>
    </row>
    <row r="97" spans="1:33" hidden="1" x14ac:dyDescent="0.35">
      <c r="E97" s="829"/>
      <c r="F97" s="847"/>
      <c r="H97" s="847"/>
      <c r="J97" s="847"/>
      <c r="N97" s="823"/>
      <c r="AA97" t="s">
        <v>186</v>
      </c>
      <c r="AB97">
        <v>0.05</v>
      </c>
      <c r="AC97" s="823" t="s">
        <v>187</v>
      </c>
      <c r="AF97" t="s">
        <v>186</v>
      </c>
      <c r="AG97">
        <v>120</v>
      </c>
    </row>
    <row r="98" spans="1:33" hidden="1" x14ac:dyDescent="0.35">
      <c r="E98" s="829"/>
      <c r="F98" s="847"/>
      <c r="H98" s="847"/>
      <c r="J98" s="847"/>
      <c r="N98" s="823"/>
    </row>
    <row r="99" spans="1:33" hidden="1" x14ac:dyDescent="0.35">
      <c r="C99" s="858"/>
      <c r="D99" s="828"/>
      <c r="E99" s="829"/>
      <c r="F99" s="847"/>
      <c r="G99" s="847"/>
      <c r="H99" s="847"/>
      <c r="I99" s="847"/>
      <c r="J99" s="847"/>
      <c r="N99" s="823"/>
    </row>
    <row r="100" spans="1:33" hidden="1" x14ac:dyDescent="0.35">
      <c r="C100" s="858"/>
      <c r="D100" s="828"/>
      <c r="E100" s="829"/>
      <c r="F100" s="847"/>
      <c r="G100" s="847"/>
      <c r="H100" s="847"/>
      <c r="I100" s="847"/>
      <c r="J100" s="847"/>
      <c r="N100" s="823"/>
    </row>
    <row r="101" spans="1:33" hidden="1" x14ac:dyDescent="0.35">
      <c r="C101" s="858"/>
      <c r="D101" s="828"/>
      <c r="E101" s="829"/>
      <c r="F101" s="847"/>
      <c r="G101" s="847"/>
      <c r="H101" s="847"/>
      <c r="I101" s="847"/>
      <c r="J101" s="847"/>
      <c r="N101" s="823"/>
    </row>
    <row r="102" spans="1:33" hidden="1" x14ac:dyDescent="0.35">
      <c r="C102" s="858"/>
      <c r="D102" s="828"/>
      <c r="E102" s="829"/>
      <c r="F102" s="847"/>
      <c r="G102" s="847"/>
      <c r="H102" s="847"/>
      <c r="I102" s="847"/>
      <c r="J102" s="847"/>
      <c r="N102" s="823"/>
    </row>
    <row r="103" spans="1:33" hidden="1" x14ac:dyDescent="0.35">
      <c r="C103" s="858"/>
      <c r="D103" s="828"/>
      <c r="E103" s="829"/>
      <c r="F103" s="829"/>
      <c r="G103" s="847"/>
      <c r="H103" s="847"/>
      <c r="I103" s="847"/>
      <c r="J103" s="847"/>
      <c r="N103" s="823"/>
    </row>
    <row r="104" spans="1:33" hidden="1" x14ac:dyDescent="0.35">
      <c r="H104" s="847"/>
    </row>
    <row r="105" spans="1:33" hidden="1" x14ac:dyDescent="0.35">
      <c r="D105" s="860"/>
      <c r="H105" s="847"/>
    </row>
    <row r="106" spans="1:33" hidden="1" x14ac:dyDescent="0.35">
      <c r="A106" t="s">
        <v>188</v>
      </c>
      <c r="D106" s="830"/>
      <c r="H106" s="847"/>
    </row>
    <row r="107" spans="1:33" hidden="1" x14ac:dyDescent="0.35">
      <c r="A107" t="s">
        <v>189</v>
      </c>
      <c r="H107" s="847"/>
    </row>
    <row r="108" spans="1:33" hidden="1" x14ac:dyDescent="0.35">
      <c r="D108" s="861" t="s">
        <v>190</v>
      </c>
      <c r="E108" s="862" t="s">
        <v>191</v>
      </c>
      <c r="F108" s="862" t="s">
        <v>161</v>
      </c>
      <c r="G108" s="862" t="s">
        <v>192</v>
      </c>
      <c r="H108" s="862" t="s">
        <v>187</v>
      </c>
      <c r="I108" s="861" t="s">
        <v>193</v>
      </c>
      <c r="J108" s="861" t="s">
        <v>194</v>
      </c>
      <c r="K108" s="861" t="s">
        <v>195</v>
      </c>
      <c r="L108" s="861" t="s">
        <v>196</v>
      </c>
      <c r="M108" s="861" t="s">
        <v>197</v>
      </c>
      <c r="N108" s="861" t="s">
        <v>198</v>
      </c>
      <c r="O108" s="861" t="s">
        <v>199</v>
      </c>
      <c r="P108" s="861" t="s">
        <v>200</v>
      </c>
      <c r="Q108" s="861" t="s">
        <v>201</v>
      </c>
      <c r="R108" s="861" t="s">
        <v>202</v>
      </c>
      <c r="S108" s="861" t="s">
        <v>203</v>
      </c>
      <c r="T108" s="861" t="s">
        <v>204</v>
      </c>
      <c r="U108" s="862" t="s">
        <v>205</v>
      </c>
      <c r="V108" s="862" t="s">
        <v>206</v>
      </c>
      <c r="W108" s="862" t="s">
        <v>206</v>
      </c>
      <c r="X108" s="862" t="s">
        <v>206</v>
      </c>
      <c r="Y108" s="862" t="s">
        <v>207</v>
      </c>
      <c r="Z108" s="862" t="s">
        <v>207</v>
      </c>
      <c r="AA108" s="862" t="s">
        <v>208</v>
      </c>
      <c r="AB108" s="862" t="s">
        <v>209</v>
      </c>
      <c r="AC108" s="862" t="s">
        <v>209</v>
      </c>
    </row>
    <row r="109" spans="1:33" hidden="1" x14ac:dyDescent="0.35">
      <c r="E109" t="s">
        <v>210</v>
      </c>
      <c r="F109" t="s">
        <v>211</v>
      </c>
      <c r="G109" t="s">
        <v>212</v>
      </c>
      <c r="H109" t="s">
        <v>213</v>
      </c>
      <c r="I109" t="s">
        <v>214</v>
      </c>
      <c r="J109" t="s">
        <v>215</v>
      </c>
      <c r="K109" t="s">
        <v>216</v>
      </c>
      <c r="L109" t="s">
        <v>217</v>
      </c>
      <c r="M109" t="s">
        <v>218</v>
      </c>
      <c r="N109" t="s">
        <v>219</v>
      </c>
      <c r="O109" t="s">
        <v>220</v>
      </c>
      <c r="P109" t="s">
        <v>200</v>
      </c>
      <c r="Q109" t="s">
        <v>221</v>
      </c>
      <c r="R109" t="s">
        <v>222</v>
      </c>
      <c r="S109" t="s">
        <v>223</v>
      </c>
      <c r="T109" t="s">
        <v>224</v>
      </c>
      <c r="U109" t="s">
        <v>225</v>
      </c>
      <c r="V109" t="s">
        <v>141</v>
      </c>
      <c r="W109" t="s">
        <v>226</v>
      </c>
      <c r="X109" s="863" t="s">
        <v>227</v>
      </c>
      <c r="Y109" t="s">
        <v>226</v>
      </c>
      <c r="Z109" s="863" t="s">
        <v>228</v>
      </c>
      <c r="AB109" s="864" t="s">
        <v>229</v>
      </c>
      <c r="AC109" t="s">
        <v>230</v>
      </c>
      <c r="AD109" t="s">
        <v>230</v>
      </c>
    </row>
    <row r="110" spans="1:33" hidden="1" x14ac:dyDescent="0.35">
      <c r="E110" t="s">
        <v>231</v>
      </c>
      <c r="F110" t="s">
        <v>231</v>
      </c>
      <c r="G110" t="s">
        <v>231</v>
      </c>
      <c r="H110" t="s">
        <v>231</v>
      </c>
      <c r="I110" t="s">
        <v>232</v>
      </c>
      <c r="J110" t="s">
        <v>232</v>
      </c>
      <c r="K110" t="s">
        <v>94</v>
      </c>
      <c r="L110" t="s">
        <v>136</v>
      </c>
      <c r="M110" t="s">
        <v>136</v>
      </c>
      <c r="N110" t="s">
        <v>136</v>
      </c>
      <c r="O110" t="s">
        <v>136</v>
      </c>
      <c r="P110" t="s">
        <v>136</v>
      </c>
      <c r="Q110" t="s">
        <v>233</v>
      </c>
      <c r="R110" t="s">
        <v>233</v>
      </c>
      <c r="S110" t="s">
        <v>233</v>
      </c>
      <c r="T110" t="s">
        <v>233</v>
      </c>
      <c r="U110" t="s">
        <v>233</v>
      </c>
      <c r="V110" t="s">
        <v>234</v>
      </c>
      <c r="W110" t="s">
        <v>235</v>
      </c>
      <c r="X110" s="863" t="s">
        <v>236</v>
      </c>
      <c r="Y110" t="s">
        <v>237</v>
      </c>
      <c r="Z110" s="863" t="s">
        <v>238</v>
      </c>
      <c r="AB110" t="s">
        <v>239</v>
      </c>
      <c r="AC110" t="s">
        <v>240</v>
      </c>
      <c r="AD110" t="s">
        <v>241</v>
      </c>
    </row>
    <row r="111" spans="1:33" hidden="1" x14ac:dyDescent="0.35">
      <c r="A111" t="str">
        <f t="shared" ref="A111:A118" si="0">B111&amp;"_"&amp;C111</f>
        <v>Varmerør 1_Nuværende</v>
      </c>
      <c r="B111" t="s">
        <v>132</v>
      </c>
      <c r="C111" t="s">
        <v>133</v>
      </c>
      <c r="D111" t="str">
        <f>Scenarier!E465</f>
        <v>Angiv ikke</v>
      </c>
      <c r="E111">
        <v>10000</v>
      </c>
      <c r="F111">
        <v>10</v>
      </c>
      <c r="G111">
        <f>IFERROR(VLOOKUP(D111,$AA$93:$AB$96,2,FALSE),0)</f>
        <v>0</v>
      </c>
      <c r="H111">
        <v>0.05</v>
      </c>
      <c r="I111" t="str">
        <f>Scenarier!H465</f>
        <v/>
      </c>
      <c r="J111">
        <f>IF(Scenarier!G465="Udenfor klimaskærm",-12,20)</f>
        <v>20</v>
      </c>
      <c r="K111">
        <f>Scenarier!C465</f>
        <v>0</v>
      </c>
      <c r="L111" cm="1">
        <f t="array" ref="L111">IFERROR(_xlfn.IFS(D111="Kobber",VLOOKUP(AF111,Varmetab!$X$125:$Z$135,3,FALSE),D111="aluPEX",VLOOKUP(AF111,Varmetab!$T$125:$V$132,3,FALSE),D111="PEX",VLOOKUP(AF111,$N$125:$P$132,3,FALSE),D111="Rustfast_stål",VLOOKUP(AF111,$I$126:$K$135,3,FALSE)),0)</f>
        <v>0</v>
      </c>
      <c r="M111">
        <f t="shared" ref="M111:M120" si="1">N111-L111</f>
        <v>0</v>
      </c>
      <c r="N111">
        <f>Scenarier!F465</f>
        <v>0</v>
      </c>
      <c r="O111" s="134">
        <f>IF(Scenarier!E466&lt;&gt;"Ingen isolering",Scenarier!F466,0)</f>
        <v>0</v>
      </c>
      <c r="P111">
        <f t="shared" ref="P111:P120" si="2">N111+2*O111</f>
        <v>0</v>
      </c>
      <c r="Q111" s="865" t="e">
        <f>IF(D111="Angiv_ikke",0,1/(E111*PI()*((N111-M111)/1000)))</f>
        <v>#DIV/0!</v>
      </c>
      <c r="R111" s="866" t="e">
        <f>1/($F$111*PI()*(P111/1000))</f>
        <v>#DIV/0!</v>
      </c>
      <c r="S111" s="860">
        <f>IF(G111=0,0,LN(N111/M111)/(2*PI()*G111))</f>
        <v>0</v>
      </c>
      <c r="T111" t="e">
        <f>LN(P111/N111)/(2*PI()*$H$111)</f>
        <v>#DIV/0!</v>
      </c>
      <c r="U111" s="860" t="e">
        <f t="shared" ref="U111:U119" si="3">SUM(Q111:T111)</f>
        <v>#DIV/0!</v>
      </c>
      <c r="V111" t="e">
        <f>(($I$111-$J$111)*$K$111)/U111</f>
        <v>#VALUE!</v>
      </c>
      <c r="W111" s="9" t="e">
        <f t="shared" ref="W111:W120" si="4">(V111/1000)*$H$1</f>
        <v>#VALUE!</v>
      </c>
      <c r="X111" s="863">
        <f>IFERROR(W111*#REF!,0)</f>
        <v>0</v>
      </c>
      <c r="Y111" t="e">
        <f>W111*Scenarier!#REF!</f>
        <v>#VALUE!</v>
      </c>
      <c r="Z111" s="863"/>
      <c r="AB111" s="866">
        <f t="shared" ref="AB111:AB120" si="5">(PI()*((N111/1000+O111/1000)/2)^2)*1</f>
        <v>0</v>
      </c>
      <c r="AF111" t="str">
        <f>Scenarier!E465&amp;"_"&amp;Scenarier!F465</f>
        <v>Angiv ikke_0</v>
      </c>
    </row>
    <row r="112" spans="1:33" hidden="1" x14ac:dyDescent="0.35">
      <c r="A112" t="str">
        <f t="shared" si="0"/>
        <v>Varmerør 1_Fremtidig</v>
      </c>
      <c r="B112" t="s">
        <v>132</v>
      </c>
      <c r="C112" t="s">
        <v>134</v>
      </c>
      <c r="D112" t="str">
        <f>IF(Scenarier!J465="Udskiftes ikke",Scenarier!E465,Scenarier!J465)</f>
        <v>Angiv ikke</v>
      </c>
      <c r="E112">
        <v>10000</v>
      </c>
      <c r="F112">
        <v>10</v>
      </c>
      <c r="G112">
        <f>IFERROR(VLOOKUP(D112,$AA$93:$AB$96,2,FALSE),0)</f>
        <v>0</v>
      </c>
      <c r="H112">
        <v>0.05</v>
      </c>
      <c r="I112" t="str">
        <f>I111</f>
        <v/>
      </c>
      <c r="J112">
        <f>J111</f>
        <v>20</v>
      </c>
      <c r="K112">
        <f>K111</f>
        <v>0</v>
      </c>
      <c r="L112" cm="1">
        <f t="array" ref="L112">IFERROR(_xlfn.IFS(D112="Kobber",VLOOKUP(AF112,Varmetab!$X$125:$Z$135,3,FALSE),D112="aluPEX",VLOOKUP(AF112,Varmetab!$T$125:$V$132,3,FALSE),D112="PEX",VLOOKUP(AF112,$N$125:$P$132,3,FALSE),D112="Rustfast_stål",VLOOKUP(AF112,$I$126:$K$135,3,FALSE)),0)</f>
        <v>0</v>
      </c>
      <c r="M112">
        <f t="shared" si="1"/>
        <v>0</v>
      </c>
      <c r="N112">
        <f>IF(Scenarier!J465="Udskiftes ikke",Scenarier!F465,Scenarier!K465)</f>
        <v>0</v>
      </c>
      <c r="O112">
        <f>Scenarier!K466</f>
        <v>0</v>
      </c>
      <c r="P112">
        <f t="shared" si="2"/>
        <v>0</v>
      </c>
      <c r="Q112" s="865" t="e">
        <f t="shared" ref="Q112:Q118" si="6">IF(D112="Angiv_ikke",0,1/(E112*PI()*((N112-M112)/1000)))</f>
        <v>#DIV/0!</v>
      </c>
      <c r="R112" s="866" t="e">
        <f>1/($F$112*PI()*(P112/1000))</f>
        <v>#DIV/0!</v>
      </c>
      <c r="S112" s="860">
        <f t="shared" ref="S112:S120" si="7">IF(G112=0,0,LN(N112/M112)/(2*PI()*G112))</f>
        <v>0</v>
      </c>
      <c r="T112" t="e">
        <f>LN(P112/N112)/(2*PI()*$H$112)</f>
        <v>#DIV/0!</v>
      </c>
      <c r="U112" s="860" t="e">
        <f t="shared" si="3"/>
        <v>#DIV/0!</v>
      </c>
      <c r="V112" t="e">
        <f>(($I$112-$J$112)*$K$112)/U112</f>
        <v>#VALUE!</v>
      </c>
      <c r="W112" s="9" t="e">
        <f t="shared" si="4"/>
        <v>#VALUE!</v>
      </c>
      <c r="X112" s="863">
        <f>IFERROR(W112*#REF!,0)</f>
        <v>0</v>
      </c>
      <c r="Y112" t="e">
        <f>W112*Scenarier!#REF!</f>
        <v>#VALUE!</v>
      </c>
      <c r="Z112" s="863" t="e">
        <f>(Y111-Y112)/1000</f>
        <v>#VALUE!</v>
      </c>
      <c r="AB112" s="866">
        <f t="shared" si="5"/>
        <v>0</v>
      </c>
      <c r="AC112" s="866">
        <f>AB112-AB111</f>
        <v>0</v>
      </c>
      <c r="AD112">
        <f>90*AC112</f>
        <v>0</v>
      </c>
      <c r="AF112" t="str">
        <f>IF(Scenarier!J465="Udskiftes ikke",Scenarier!E465&amp;"_"&amp;Scenarier!F465,Scenarier!J465&amp;"_"&amp;Scenarier!K465)</f>
        <v>Angiv ikke_0</v>
      </c>
    </row>
    <row r="113" spans="1:32" hidden="1" x14ac:dyDescent="0.35">
      <c r="A113" t="str">
        <f t="shared" si="0"/>
        <v>Varmerør 2_Nuværende</v>
      </c>
      <c r="B113" t="s">
        <v>139</v>
      </c>
      <c r="C113" t="s">
        <v>133</v>
      </c>
      <c r="D113" t="str">
        <f>Scenarier!E478</f>
        <v>Betonelement C30/37</v>
      </c>
      <c r="E113">
        <v>10000</v>
      </c>
      <c r="F113">
        <v>10</v>
      </c>
      <c r="G113">
        <f>IFERROR(VLOOKUP(D113,$AA$93:$AB$96,2,FALSE),0)</f>
        <v>0</v>
      </c>
      <c r="H113">
        <v>0.05</v>
      </c>
      <c r="I113">
        <f>Scenarier!H478</f>
        <v>0</v>
      </c>
      <c r="J113">
        <f>IF(Scenarier!G478="Udenfor klimaskærm",-12,20)</f>
        <v>20</v>
      </c>
      <c r="K113">
        <f>Scenarier!C478</f>
        <v>0</v>
      </c>
      <c r="L113" cm="1">
        <f t="array" ref="L113">IFERROR(_xlfn.IFS(D113="Kobber",VLOOKUP(AF113,Varmetab!$X$125:$Z$135,3,FALSE),D113="aluPEX",VLOOKUP(AF113,Varmetab!$T$125:$V$132,3,FALSE),D113="PEX",VLOOKUP(AF113,$N$125:$P$132,3,FALSE),D113="Rustfast_stål",VLOOKUP(AF113,$I$126:$K$135,3,FALSE)),0)</f>
        <v>0</v>
      </c>
      <c r="M113">
        <f t="shared" si="1"/>
        <v>0.15</v>
      </c>
      <c r="N113">
        <f>Scenarier!F478</f>
        <v>0.15</v>
      </c>
      <c r="O113">
        <f>Scenarier!F479</f>
        <v>0</v>
      </c>
      <c r="P113">
        <f t="shared" si="2"/>
        <v>0.15</v>
      </c>
      <c r="Q113" s="865" t="e">
        <f t="shared" si="6"/>
        <v>#DIV/0!</v>
      </c>
      <c r="R113" s="866">
        <f>1/($F$113*PI()*(P113/1000))</f>
        <v>212.20659078919383</v>
      </c>
      <c r="S113" s="860">
        <f>IF(G113=0,0,LN(N113/M113)/(2*PI()*G113))</f>
        <v>0</v>
      </c>
      <c r="T113">
        <f>LN(P113/N113)/(2*PI()*$H$113)</f>
        <v>0</v>
      </c>
      <c r="U113" s="860" t="e">
        <f>SUM(Q113:T113)</f>
        <v>#DIV/0!</v>
      </c>
      <c r="V113" t="e">
        <f>(($I$113-$J$113)*$K$113)/U113</f>
        <v>#DIV/0!</v>
      </c>
      <c r="W113" s="9" t="e">
        <f t="shared" si="4"/>
        <v>#DIV/0!</v>
      </c>
      <c r="X113" s="863">
        <f>IFERROR(W113*#REF!,0)</f>
        <v>0</v>
      </c>
      <c r="Y113" t="e">
        <f>W113*Scenarier!#REF!</f>
        <v>#DIV/0!</v>
      </c>
      <c r="Z113" s="863"/>
      <c r="AB113" s="866">
        <f t="shared" si="5"/>
        <v>1.7671458676442583E-8</v>
      </c>
      <c r="AC113" s="866"/>
      <c r="AF113" t="str">
        <f>Scenarier!E478&amp;"_"&amp;Scenarier!F478</f>
        <v>Betonelement C30/37_0,15</v>
      </c>
    </row>
    <row r="114" spans="1:32" hidden="1" x14ac:dyDescent="0.35">
      <c r="A114" t="str">
        <f t="shared" si="0"/>
        <v>Varmerør 2_Fremtidig</v>
      </c>
      <c r="B114" t="s">
        <v>139</v>
      </c>
      <c r="C114" t="s">
        <v>134</v>
      </c>
      <c r="D114" t="str">
        <f>IF(Scenarier!J478="Udskiftes ikke",Scenarier!E478,Scenarier!J478)</f>
        <v>Betonelement C30/37</v>
      </c>
      <c r="E114">
        <v>10000</v>
      </c>
      <c r="F114">
        <v>10</v>
      </c>
      <c r="G114">
        <f t="shared" ref="G114:G120" si="8">IFERROR(VLOOKUP(D114,$AA$93:$AB$96,2,FALSE),0)</f>
        <v>0</v>
      </c>
      <c r="H114">
        <v>0.05</v>
      </c>
      <c r="I114">
        <f>I113</f>
        <v>0</v>
      </c>
      <c r="J114">
        <f>J113</f>
        <v>20</v>
      </c>
      <c r="K114">
        <f>K113</f>
        <v>0</v>
      </c>
      <c r="L114" cm="1">
        <f t="array" ref="L114">IFERROR(_xlfn.IFS(D114="Kobber",VLOOKUP(AF114,Varmetab!$X$125:$Z$135,3,FALSE),D114="aluPEX",VLOOKUP(AF114,Varmetab!$T$125:$V$132,3,FALSE),D114="PEX",VLOOKUP(AF114,$N$125:$P$132,3,FALSE),D114="Rustfast_stål",VLOOKUP(AF114,$I$126:$K$135,3,FALSE)),0)</f>
        <v>0</v>
      </c>
      <c r="M114">
        <f t="shared" si="1"/>
        <v>0.15</v>
      </c>
      <c r="N114">
        <f>IF(Scenarier!J478="Udskiftes ikke",Scenarier!F478,Scenarier!K478)</f>
        <v>0.15</v>
      </c>
      <c r="O114">
        <f>Scenarier!K479</f>
        <v>0</v>
      </c>
      <c r="P114">
        <f t="shared" si="2"/>
        <v>0.15</v>
      </c>
      <c r="Q114" s="865" t="e">
        <f t="shared" si="6"/>
        <v>#DIV/0!</v>
      </c>
      <c r="R114" s="866">
        <f>1/($F$114*PI()*(P114/1000))</f>
        <v>212.20659078919383</v>
      </c>
      <c r="S114" s="860">
        <f t="shared" si="7"/>
        <v>0</v>
      </c>
      <c r="T114">
        <f>LN(P114/N114)/(2*PI()*$H$114)</f>
        <v>0</v>
      </c>
      <c r="U114" s="860" t="e">
        <f t="shared" si="3"/>
        <v>#DIV/0!</v>
      </c>
      <c r="V114" t="e">
        <f>(($I$114-$J$114)*$K$114)/U114</f>
        <v>#DIV/0!</v>
      </c>
      <c r="W114" s="9" t="e">
        <f t="shared" si="4"/>
        <v>#DIV/0!</v>
      </c>
      <c r="X114" s="863">
        <f>IFERROR(W114*#REF!,0)</f>
        <v>0</v>
      </c>
      <c r="Y114" t="e">
        <f>W114*Scenarier!#REF!</f>
        <v>#DIV/0!</v>
      </c>
      <c r="Z114" s="863" t="e">
        <f>(Y113-Y114)/1000</f>
        <v>#DIV/0!</v>
      </c>
      <c r="AB114" s="866">
        <f t="shared" si="5"/>
        <v>1.7671458676442583E-8</v>
      </c>
      <c r="AC114" s="866">
        <f>AB114-AB113</f>
        <v>0</v>
      </c>
      <c r="AD114">
        <f>120*AC114</f>
        <v>0</v>
      </c>
      <c r="AF114" t="str">
        <f>IF(Scenarier!J478="Udskiftes ikke",Scenarier!E478&amp;"_"&amp;Scenarier!F478,Scenarier!J478&amp;"_"&amp;Scenarier!K478)</f>
        <v>Betonelement C30/37_0,15</v>
      </c>
    </row>
    <row r="115" spans="1:32" hidden="1" x14ac:dyDescent="0.35">
      <c r="A115" t="str">
        <f t="shared" si="0"/>
        <v>Varmerør 3_Nuværende</v>
      </c>
      <c r="B115" t="s">
        <v>147</v>
      </c>
      <c r="C115" t="s">
        <v>133</v>
      </c>
      <c r="D115" t="str">
        <f>Scenarier!E489</f>
        <v>Akrylmaling på puds</v>
      </c>
      <c r="E115">
        <v>10000</v>
      </c>
      <c r="F115">
        <v>10</v>
      </c>
      <c r="G115">
        <f t="shared" si="8"/>
        <v>0</v>
      </c>
      <c r="H115">
        <v>0.05</v>
      </c>
      <c r="I115">
        <f>Scenarier!H489</f>
        <v>0</v>
      </c>
      <c r="J115">
        <f>IF(Scenarier!G489="Udenfor klimaskærm",-12,20)</f>
        <v>20</v>
      </c>
      <c r="K115">
        <f>Scenarier!C489</f>
        <v>0</v>
      </c>
      <c r="L115" cm="1">
        <f t="array" ref="L115">IFERROR(_xlfn.IFS(D115="Kobber",VLOOKUP(AF115,Varmetab!$X$125:$Z$135,3,FALSE),D115="aluPEX",VLOOKUP(AF115,Varmetab!$T$125:$V$132,3,FALSE),D115="PEX",VLOOKUP(AF115,$N$125:$P$132,3,FALSE),D115="Rustfast_stål",VLOOKUP(AF115,$I$126:$K$135,3,FALSE)),0)</f>
        <v>0</v>
      </c>
      <c r="M115">
        <f t="shared" si="1"/>
        <v>3.0000000000000001E-3</v>
      </c>
      <c r="N115">
        <f>Scenarier!F489</f>
        <v>3.0000000000000001E-3</v>
      </c>
      <c r="O115">
        <f>Scenarier!F490</f>
        <v>0</v>
      </c>
      <c r="P115">
        <f t="shared" si="2"/>
        <v>3.0000000000000001E-3</v>
      </c>
      <c r="Q115" s="865" t="e">
        <f t="shared" si="6"/>
        <v>#DIV/0!</v>
      </c>
      <c r="R115" s="866">
        <f>1/($F$115*PI()*(P115/1000))</f>
        <v>10610.32953945969</v>
      </c>
      <c r="S115" s="860">
        <f t="shared" si="7"/>
        <v>0</v>
      </c>
      <c r="T115">
        <f>LN(P115/N115)/(2*PI()*$H$115)</f>
        <v>0</v>
      </c>
      <c r="U115" s="860" t="e">
        <f t="shared" si="3"/>
        <v>#DIV/0!</v>
      </c>
      <c r="V115" t="e">
        <f>(($I$115-$J$115)*$K$115)/U115</f>
        <v>#DIV/0!</v>
      </c>
      <c r="W115" s="9" t="e">
        <f t="shared" si="4"/>
        <v>#DIV/0!</v>
      </c>
      <c r="X115" s="863">
        <f>IFERROR(W115*#REF!,0)</f>
        <v>0</v>
      </c>
      <c r="Y115" t="e">
        <f>W115*Scenarier!#REF!</f>
        <v>#DIV/0!</v>
      </c>
      <c r="Z115" s="863"/>
      <c r="AB115" s="866">
        <f t="shared" si="5"/>
        <v>7.0685834705770355E-12</v>
      </c>
      <c r="AC115" s="866"/>
      <c r="AF115" t="str">
        <f>Scenarier!E489&amp;"_"&amp;Scenarier!F489</f>
        <v>Akrylmaling på puds_0,003</v>
      </c>
    </row>
    <row r="116" spans="1:32" hidden="1" x14ac:dyDescent="0.35">
      <c r="A116" t="str">
        <f t="shared" si="0"/>
        <v>Varmerør 3_Fremtidig</v>
      </c>
      <c r="B116" t="s">
        <v>147</v>
      </c>
      <c r="C116" t="s">
        <v>134</v>
      </c>
      <c r="D116" t="str">
        <f>IF(Scenarier!J489="Udskiftes ikke",Scenarier!E489,Scenarier!J489)</f>
        <v>Akrylmaling på puds</v>
      </c>
      <c r="E116">
        <v>10000</v>
      </c>
      <c r="F116">
        <v>10</v>
      </c>
      <c r="G116">
        <f t="shared" si="8"/>
        <v>0</v>
      </c>
      <c r="H116">
        <v>0.05</v>
      </c>
      <c r="I116">
        <f>I115</f>
        <v>0</v>
      </c>
      <c r="J116">
        <f>J115</f>
        <v>20</v>
      </c>
      <c r="K116">
        <f>K115</f>
        <v>0</v>
      </c>
      <c r="L116" cm="1">
        <f t="array" ref="L116">IFERROR(_xlfn.IFS(D116="Kobber",VLOOKUP(AF116,Varmetab!$X$125:$Z$135,3,FALSE),D116="aluPEX",VLOOKUP(AF116,Varmetab!$T$125:$V$132,3,FALSE),D116="PEX",VLOOKUP(AF116,$N$125:$P$132,3,FALSE),D116="Rustfast_stål",VLOOKUP(AF116,$I$126:$K$135,3,FALSE)),0)</f>
        <v>0</v>
      </c>
      <c r="M116">
        <f t="shared" si="1"/>
        <v>3.0000000000000001E-3</v>
      </c>
      <c r="N116">
        <f>IF(Scenarier!J489="Udskiftes ikke",Scenarier!F489,Scenarier!K489)</f>
        <v>3.0000000000000001E-3</v>
      </c>
      <c r="O116">
        <f>Scenarier!K490</f>
        <v>0</v>
      </c>
      <c r="P116">
        <f t="shared" si="2"/>
        <v>3.0000000000000001E-3</v>
      </c>
      <c r="Q116" s="865" t="e">
        <f t="shared" si="6"/>
        <v>#DIV/0!</v>
      </c>
      <c r="R116" s="866">
        <f>1/($F$116*PI()*(P116/1000))</f>
        <v>10610.32953945969</v>
      </c>
      <c r="S116" s="860">
        <f t="shared" si="7"/>
        <v>0</v>
      </c>
      <c r="T116">
        <f>LN(P116/N116)/(2*PI()*$H$116)</f>
        <v>0</v>
      </c>
      <c r="U116" s="860" t="e">
        <f t="shared" si="3"/>
        <v>#DIV/0!</v>
      </c>
      <c r="V116" t="e">
        <f>(($I$116-$J$116)*$K$116)/U116</f>
        <v>#DIV/0!</v>
      </c>
      <c r="W116" s="9" t="e">
        <f t="shared" si="4"/>
        <v>#DIV/0!</v>
      </c>
      <c r="X116" s="863">
        <f>IFERROR(W116*#REF!,0)</f>
        <v>0</v>
      </c>
      <c r="Y116" t="e">
        <f>W116*Scenarier!#REF!</f>
        <v>#DIV/0!</v>
      </c>
      <c r="Z116" s="863" t="e">
        <f>(Y115-Y116)/1000</f>
        <v>#DIV/0!</v>
      </c>
      <c r="AB116" s="866">
        <f t="shared" si="5"/>
        <v>7.0685834705770355E-12</v>
      </c>
      <c r="AC116" s="866">
        <f>AB116-AB115</f>
        <v>0</v>
      </c>
      <c r="AD116">
        <f>120*AC116</f>
        <v>0</v>
      </c>
      <c r="AF116" t="str">
        <f>IF(Scenarier!J489="Udskiftes ikke",Scenarier!E489&amp;"_"&amp;Scenarier!F489,Scenarier!J489&amp;"_"&amp;Scenarier!K489)</f>
        <v>Akrylmaling på puds_0,003</v>
      </c>
    </row>
    <row r="117" spans="1:32" hidden="1" x14ac:dyDescent="0.35">
      <c r="A117" t="str">
        <f t="shared" si="0"/>
        <v>Varmerør 4_Nuværende</v>
      </c>
      <c r="B117" t="s">
        <v>149</v>
      </c>
      <c r="C117" t="s">
        <v>133</v>
      </c>
      <c r="D117" t="e">
        <f>Scenarier!#REF!</f>
        <v>#REF!</v>
      </c>
      <c r="E117">
        <v>10000</v>
      </c>
      <c r="F117">
        <v>10</v>
      </c>
      <c r="G117">
        <f t="shared" si="8"/>
        <v>0</v>
      </c>
      <c r="H117">
        <v>0.05</v>
      </c>
      <c r="I117" t="e">
        <f>Scenarier!#REF!</f>
        <v>#REF!</v>
      </c>
      <c r="J117">
        <f>J116</f>
        <v>20</v>
      </c>
      <c r="K117" t="e">
        <f>Scenarier!#REF!</f>
        <v>#REF!</v>
      </c>
      <c r="L117" cm="1">
        <f t="array" ref="L117">IFERROR(_xlfn.IFS(D117="Kobber",VLOOKUP(AF117,Varmetab!$X$125:$Z$135,3,FALSE),D117="aluPEX",VLOOKUP(AF117,Varmetab!$T$125:$V$132,3,FALSE),D117="PEX",VLOOKUP(AF117,$N$125:$P$132,3,FALSE),D117="Rustfast_stål",VLOOKUP(AF117,$I$126:$K$135,3,FALSE)),0)</f>
        <v>0</v>
      </c>
      <c r="M117">
        <f t="shared" si="1"/>
        <v>3.0000000000000001E-3</v>
      </c>
      <c r="N117">
        <f>N116</f>
        <v>3.0000000000000001E-3</v>
      </c>
      <c r="O117" t="e">
        <f>Scenarier!#REF!</f>
        <v>#REF!</v>
      </c>
      <c r="P117" t="e">
        <f t="shared" si="2"/>
        <v>#REF!</v>
      </c>
      <c r="Q117" s="865" t="e">
        <f t="shared" si="6"/>
        <v>#REF!</v>
      </c>
      <c r="R117" s="866" t="e">
        <f>1/($F$116*PI()*(P117/1000))</f>
        <v>#REF!</v>
      </c>
      <c r="S117" s="860">
        <f t="shared" si="7"/>
        <v>0</v>
      </c>
      <c r="T117" t="e">
        <f>LN(P117/N117)/(2*PI()*$H$116)</f>
        <v>#REF!</v>
      </c>
      <c r="U117" s="860" t="e">
        <f t="shared" si="3"/>
        <v>#REF!</v>
      </c>
      <c r="V117" t="e">
        <f>(($I$116-$J$116)*$K$116)/U117</f>
        <v>#REF!</v>
      </c>
      <c r="W117" s="9" t="e">
        <f t="shared" si="4"/>
        <v>#REF!</v>
      </c>
      <c r="X117" s="863">
        <f>IFERROR(W117*#REF!,0)</f>
        <v>0</v>
      </c>
      <c r="Y117" t="e">
        <f>W117*Scenarier!#REF!</f>
        <v>#REF!</v>
      </c>
      <c r="Z117" s="863"/>
      <c r="AB117" s="866" t="e">
        <f t="shared" si="5"/>
        <v>#REF!</v>
      </c>
      <c r="AC117" s="866" t="e">
        <f>AB117-AB116</f>
        <v>#REF!</v>
      </c>
      <c r="AD117" t="e">
        <f>120*AC117</f>
        <v>#REF!</v>
      </c>
      <c r="AF117" t="e">
        <f>Scenarier!#REF!&amp;"_"&amp;Scenarier!#REF!</f>
        <v>#REF!</v>
      </c>
    </row>
    <row r="118" spans="1:32" hidden="1" x14ac:dyDescent="0.35">
      <c r="A118" t="str">
        <f t="shared" si="0"/>
        <v>Varmerør 4_Fremtidig</v>
      </c>
      <c r="B118" t="s">
        <v>149</v>
      </c>
      <c r="C118" t="s">
        <v>134</v>
      </c>
      <c r="D118" t="e">
        <f>IF(Scenarier!#REF!="Udskiftes ikke",Scenarier!#REF!,Scenarier!#REF!)</f>
        <v>#REF!</v>
      </c>
      <c r="E118">
        <v>10000</v>
      </c>
      <c r="F118">
        <v>10</v>
      </c>
      <c r="G118">
        <f t="shared" si="8"/>
        <v>0</v>
      </c>
      <c r="H118">
        <v>0.05</v>
      </c>
      <c r="I118" t="e">
        <f>I117</f>
        <v>#REF!</v>
      </c>
      <c r="J118">
        <f>J117</f>
        <v>20</v>
      </c>
      <c r="K118" t="e">
        <f>K117</f>
        <v>#REF!</v>
      </c>
      <c r="L118" cm="1">
        <f t="array" ref="L118">IFERROR(_xlfn.IFS(D118="Kobber",VLOOKUP(AF118,Varmetab!$X$125:$Z$135,3,FALSE),D118="aluPEX",VLOOKUP(AF118,Varmetab!$T$125:$V$132,3,FALSE),D118="PEX",VLOOKUP(AF118,$N$125:$P$132,3,FALSE),D118="Rustfast_stål",VLOOKUP(AF118,$I$126:$K$135,3,FALSE)),0)</f>
        <v>0</v>
      </c>
      <c r="M118" t="e">
        <f t="shared" si="1"/>
        <v>#REF!</v>
      </c>
      <c r="N118" t="e">
        <f>IF(Scenarier!#REF!="Udskiftes ikke",Scenarier!#REF!,Scenarier!#REF!)</f>
        <v>#REF!</v>
      </c>
      <c r="O118" t="e">
        <f>Scenarier!#REF!</f>
        <v>#REF!</v>
      </c>
      <c r="P118" t="e">
        <f t="shared" si="2"/>
        <v>#REF!</v>
      </c>
      <c r="Q118" s="865" t="e">
        <f t="shared" si="6"/>
        <v>#REF!</v>
      </c>
      <c r="R118" s="866" t="e">
        <f>1/($F$116*PI()*(P118/1000))</f>
        <v>#REF!</v>
      </c>
      <c r="S118" s="860">
        <f t="shared" si="7"/>
        <v>0</v>
      </c>
      <c r="T118" t="e">
        <f>LN(P118/N118)/(2*PI()*$H$116)</f>
        <v>#REF!</v>
      </c>
      <c r="U118" s="860" t="e">
        <f t="shared" si="3"/>
        <v>#REF!</v>
      </c>
      <c r="V118" t="e">
        <f>(($I$116-$J$116)*$K$116)/U118</f>
        <v>#REF!</v>
      </c>
      <c r="W118" s="9" t="e">
        <f t="shared" si="4"/>
        <v>#REF!</v>
      </c>
      <c r="X118" s="863">
        <f>IFERROR(W118*#REF!,0)</f>
        <v>0</v>
      </c>
      <c r="Y118" t="e">
        <f>W118*Scenarier!#REF!</f>
        <v>#REF!</v>
      </c>
      <c r="Z118" s="863"/>
      <c r="AB118" s="866" t="e">
        <f t="shared" si="5"/>
        <v>#REF!</v>
      </c>
      <c r="AC118" s="866" t="e">
        <f>AB118-AB117</f>
        <v>#REF!</v>
      </c>
      <c r="AD118" t="e">
        <f>120*AC118</f>
        <v>#REF!</v>
      </c>
      <c r="AF118" t="e">
        <f>IF(Scenarier!#REF!="Udskiftes ikke",Scenarier!#REF!&amp;"_"&amp;Scenarier!#REF!,Scenarier!#REF!&amp;"_"&amp;Scenarier!#REF!)</f>
        <v>#REF!</v>
      </c>
    </row>
    <row r="119" spans="1:32" hidden="1" x14ac:dyDescent="0.35">
      <c r="A119" t="str">
        <f>B119&amp;"_"&amp;C119</f>
        <v>Varmerør 5_Nuværende</v>
      </c>
      <c r="B119" t="s">
        <v>150</v>
      </c>
      <c r="C119" t="s">
        <v>133</v>
      </c>
      <c r="D119">
        <f>Scenarier!E526</f>
        <v>0</v>
      </c>
      <c r="E119">
        <v>10000</v>
      </c>
      <c r="F119">
        <v>10</v>
      </c>
      <c r="G119">
        <f t="shared" si="8"/>
        <v>0</v>
      </c>
      <c r="H119">
        <v>0.05</v>
      </c>
      <c r="I119">
        <f>Scenarier!H526</f>
        <v>0</v>
      </c>
      <c r="J119">
        <f>J118</f>
        <v>20</v>
      </c>
      <c r="K119">
        <f>Scenarier!C526</f>
        <v>0</v>
      </c>
      <c r="L119" cm="1">
        <f t="array" ref="L119">IFERROR(_xlfn.IFS(D119="Kobber",VLOOKUP(AF119,Varmetab!$X$125:$Z$135,3,FALSE),D119="aluPEX",VLOOKUP(AF119,Varmetab!$T$125:$V$132,3,FALSE),D119="PEX",VLOOKUP(AF119,$N$125:$P$132,3,FALSE),D119="Rustfast_stål",VLOOKUP(AF119,$I$126:$K$135,3,FALSE)),0)</f>
        <v>0</v>
      </c>
      <c r="M119" t="e">
        <f t="shared" si="1"/>
        <v>#REF!</v>
      </c>
      <c r="N119" t="e">
        <f>N118</f>
        <v>#REF!</v>
      </c>
      <c r="O119">
        <f>Scenarier!F527</f>
        <v>0</v>
      </c>
      <c r="P119" t="e">
        <f t="shared" si="2"/>
        <v>#REF!</v>
      </c>
      <c r="Q119" s="865" t="e">
        <f>IF(D119="Angiv_ikke",0,1/(E119*PI()*((N119-M119)/1000)))</f>
        <v>#REF!</v>
      </c>
      <c r="R119" s="866" t="e">
        <f>1/($F$116*PI()*(P119/1000))</f>
        <v>#REF!</v>
      </c>
      <c r="S119" s="860">
        <f t="shared" si="7"/>
        <v>0</v>
      </c>
      <c r="T119" t="e">
        <f>LN(P119/N119)/(2*PI()*$H$116)</f>
        <v>#REF!</v>
      </c>
      <c r="U119" s="860" t="e">
        <f t="shared" si="3"/>
        <v>#REF!</v>
      </c>
      <c r="V119" t="e">
        <f>(($I$116-$J$116)*$K$116)/U119</f>
        <v>#REF!</v>
      </c>
      <c r="W119" s="9" t="e">
        <f t="shared" si="4"/>
        <v>#REF!</v>
      </c>
      <c r="X119" s="863">
        <f>IFERROR(W119*#REF!,0)</f>
        <v>0</v>
      </c>
      <c r="Y119" t="e">
        <f>W119*Scenarier!#REF!</f>
        <v>#REF!</v>
      </c>
      <c r="Z119" s="863"/>
      <c r="AB119" s="866" t="e">
        <f t="shared" si="5"/>
        <v>#REF!</v>
      </c>
      <c r="AC119" s="866" t="e">
        <f>AB119-AB118</f>
        <v>#REF!</v>
      </c>
      <c r="AD119" t="e">
        <f>120*AC119</f>
        <v>#REF!</v>
      </c>
      <c r="AF119" t="str">
        <f>Scenarier!E526&amp;"_"&amp;Scenarier!F526</f>
        <v>_</v>
      </c>
    </row>
    <row r="120" spans="1:32" hidden="1" x14ac:dyDescent="0.35">
      <c r="A120" t="str">
        <f>B120&amp;"_"&amp;C120</f>
        <v>Varmerør 5_Fremtidig</v>
      </c>
      <c r="B120" t="s">
        <v>150</v>
      </c>
      <c r="C120" t="s">
        <v>134</v>
      </c>
      <c r="D120">
        <f>IF(Scenarier!J526="Udskiftes ikke",Scenarier!E526,Scenarier!J526)</f>
        <v>0</v>
      </c>
      <c r="E120">
        <v>10000</v>
      </c>
      <c r="F120">
        <v>10</v>
      </c>
      <c r="G120">
        <f t="shared" si="8"/>
        <v>0</v>
      </c>
      <c r="H120">
        <v>0.05</v>
      </c>
      <c r="I120">
        <f>I119</f>
        <v>0</v>
      </c>
      <c r="J120">
        <f>J119</f>
        <v>20</v>
      </c>
      <c r="K120">
        <f>K119</f>
        <v>0</v>
      </c>
      <c r="L120" cm="1">
        <f t="array" ref="L120">IFERROR(_xlfn.IFS(D120="Kobber",VLOOKUP(AF120,Varmetab!$X$125:$Z$135,3,FALSE),D120="aluPEX",VLOOKUP(AF120,Varmetab!$T$125:$V$132,3,FALSE),D120="PEX",VLOOKUP(AF120,$N$125:$P$132,3,FALSE),D120="Rustfast_stål",VLOOKUP(AF120,$I$126:$K$135,3,FALSE)),0)</f>
        <v>0</v>
      </c>
      <c r="M120">
        <f t="shared" si="1"/>
        <v>0</v>
      </c>
      <c r="N120">
        <f>IF(Scenarier!J526="Udskiftes ikke",Scenarier!F526,Scenarier!K526)</f>
        <v>0</v>
      </c>
      <c r="O120" t="e">
        <f>Scenarier!#REF!</f>
        <v>#REF!</v>
      </c>
      <c r="P120" t="e">
        <f t="shared" si="2"/>
        <v>#REF!</v>
      </c>
      <c r="Q120" s="865" t="e">
        <f>IF(D120="Angiv_ikke",0,1/(E120*PI()*((N120-M120)/1000)))</f>
        <v>#DIV/0!</v>
      </c>
      <c r="R120" s="866" t="e">
        <f>1/($F$116*PI()*(P120/1000))</f>
        <v>#REF!</v>
      </c>
      <c r="S120" s="860">
        <f t="shared" si="7"/>
        <v>0</v>
      </c>
      <c r="T120" t="e">
        <f>LN(P120/N120)/(2*PI()*$H$116)</f>
        <v>#REF!</v>
      </c>
      <c r="U120" s="860" t="e">
        <f>SUM(Q120:T120)</f>
        <v>#DIV/0!</v>
      </c>
      <c r="V120" t="e">
        <f>(($I$116-$J$116)*$K$116)/U120</f>
        <v>#DIV/0!</v>
      </c>
      <c r="W120" s="9" t="e">
        <f t="shared" si="4"/>
        <v>#DIV/0!</v>
      </c>
      <c r="X120" s="863">
        <f>IFERROR(W120*#REF!,0)</f>
        <v>0</v>
      </c>
      <c r="Y120" t="e">
        <f>W120*Scenarier!#REF!</f>
        <v>#DIV/0!</v>
      </c>
      <c r="Z120" s="863"/>
      <c r="AB120" s="866" t="e">
        <f t="shared" si="5"/>
        <v>#REF!</v>
      </c>
      <c r="AC120" s="866" t="e">
        <f>AB120-AB119</f>
        <v>#REF!</v>
      </c>
      <c r="AD120" t="e">
        <f>120*AC120</f>
        <v>#REF!</v>
      </c>
      <c r="AF120" t="str">
        <f>IF(Scenarier!J526="Udskiftes ikke",Scenarier!E526&amp;"_"&amp;Scenarier!F526,Scenarier!J526&amp;"_"&amp;Scenarier!K526)</f>
        <v>_</v>
      </c>
    </row>
    <row r="121" spans="1:32" hidden="1" x14ac:dyDescent="0.35">
      <c r="Q121" s="865"/>
      <c r="R121" s="866"/>
      <c r="S121" s="860"/>
      <c r="U121" s="860"/>
      <c r="W121" s="9"/>
      <c r="X121" s="867"/>
      <c r="Z121" s="863"/>
      <c r="AB121" s="866"/>
      <c r="AC121" s="866"/>
    </row>
    <row r="122" spans="1:32" hidden="1" x14ac:dyDescent="0.35"/>
    <row r="123" spans="1:32" hidden="1" x14ac:dyDescent="0.35">
      <c r="C123" t="s">
        <v>242</v>
      </c>
      <c r="K123" s="4" t="str">
        <f>Dropdown!X1</f>
        <v>Rustfast_stål</v>
      </c>
      <c r="P123" s="4" t="str">
        <f>Dropdown!Z1</f>
        <v>PEX</v>
      </c>
      <c r="V123" s="4" t="str">
        <f>Dropdown!AB1</f>
        <v>aluPEX</v>
      </c>
      <c r="Z123" s="4" t="str">
        <f>Dropdown!AD1</f>
        <v>Kobber</v>
      </c>
    </row>
    <row r="124" spans="1:32" hidden="1" x14ac:dyDescent="0.35">
      <c r="J124" t="s">
        <v>243</v>
      </c>
      <c r="K124" t="s">
        <v>217</v>
      </c>
      <c r="L124" t="s">
        <v>244</v>
      </c>
      <c r="O124" t="s">
        <v>245</v>
      </c>
      <c r="P124" t="s">
        <v>217</v>
      </c>
      <c r="Q124" t="s">
        <v>241</v>
      </c>
      <c r="U124" t="s">
        <v>245</v>
      </c>
      <c r="V124" t="s">
        <v>217</v>
      </c>
      <c r="W124" t="s">
        <v>241</v>
      </c>
      <c r="Y124" t="s">
        <v>245</v>
      </c>
      <c r="Z124" t="s">
        <v>217</v>
      </c>
      <c r="AA124" t="s">
        <v>241</v>
      </c>
      <c r="AB124" t="s">
        <v>246</v>
      </c>
    </row>
    <row r="125" spans="1:32" hidden="1" x14ac:dyDescent="0.35">
      <c r="C125" t="s">
        <v>177</v>
      </c>
      <c r="D125" t="s">
        <v>182</v>
      </c>
      <c r="E125" t="s">
        <v>247</v>
      </c>
      <c r="F125" t="s">
        <v>180</v>
      </c>
      <c r="G125" t="s">
        <v>103</v>
      </c>
      <c r="J125" t="s">
        <v>248</v>
      </c>
      <c r="K125" t="s">
        <v>248</v>
      </c>
      <c r="L125" t="s">
        <v>241</v>
      </c>
      <c r="N125" t="str">
        <f>$P$123&amp;"_"&amp;O125</f>
        <v>PEX_25</v>
      </c>
      <c r="O125">
        <v>25</v>
      </c>
      <c r="P125">
        <v>2.2999999999999998</v>
      </c>
      <c r="Q125">
        <v>0.16700000000000001</v>
      </c>
      <c r="T125" t="str">
        <f>$V$123&amp;"_"&amp;U125</f>
        <v>aluPEX_14</v>
      </c>
      <c r="U125">
        <v>14</v>
      </c>
      <c r="V125">
        <v>2</v>
      </c>
      <c r="W125">
        <v>0.1</v>
      </c>
      <c r="X125" t="str">
        <f>$Z$123&amp;"_"&amp;Y125</f>
        <v>Kobber_6</v>
      </c>
      <c r="Y125">
        <v>6</v>
      </c>
      <c r="Z125">
        <v>1</v>
      </c>
      <c r="AA125">
        <v>0.14000000000000001</v>
      </c>
      <c r="AB125">
        <f>AA125/Y125</f>
        <v>2.3333333333333334E-2</v>
      </c>
    </row>
    <row r="126" spans="1:32" hidden="1" x14ac:dyDescent="0.35">
      <c r="C126" s="868">
        <v>15</v>
      </c>
      <c r="D126" s="868">
        <v>12</v>
      </c>
      <c r="E126" s="868">
        <v>14</v>
      </c>
      <c r="F126" s="868">
        <v>6</v>
      </c>
      <c r="G126" s="868">
        <v>0</v>
      </c>
      <c r="I126" t="str">
        <f>$K$123&amp;"_"&amp;J126</f>
        <v>Rustfast_stål_15</v>
      </c>
      <c r="J126">
        <v>15</v>
      </c>
      <c r="K126">
        <v>1</v>
      </c>
      <c r="L126" s="830">
        <f>2.1/6</f>
        <v>0.35000000000000003</v>
      </c>
      <c r="N126" t="str">
        <f t="shared" ref="N126:N132" si="9">$P$123&amp;"_"&amp;O126</f>
        <v>PEX_32</v>
      </c>
      <c r="O126">
        <v>32</v>
      </c>
      <c r="P126">
        <v>2.9</v>
      </c>
      <c r="Q126">
        <v>0</v>
      </c>
      <c r="T126" t="str">
        <f t="shared" ref="T126:T132" si="10">$V$123&amp;"_"&amp;U126</f>
        <v>aluPEX_16</v>
      </c>
      <c r="U126">
        <v>16</v>
      </c>
      <c r="V126">
        <v>2</v>
      </c>
      <c r="W126">
        <v>0.13</v>
      </c>
      <c r="X126" t="str">
        <f t="shared" ref="X126:X135" si="11">$Z$123&amp;"_"&amp;Y126</f>
        <v>Kobber_8</v>
      </c>
      <c r="Y126">
        <v>8</v>
      </c>
      <c r="Z126">
        <v>1</v>
      </c>
      <c r="AA126">
        <v>0.2</v>
      </c>
      <c r="AB126">
        <f t="shared" ref="AB126:AB135" si="12">AA126/Y126</f>
        <v>2.5000000000000001E-2</v>
      </c>
    </row>
    <row r="127" spans="1:32" hidden="1" x14ac:dyDescent="0.35">
      <c r="C127" s="868">
        <v>18</v>
      </c>
      <c r="D127" s="868">
        <v>15</v>
      </c>
      <c r="E127" s="868">
        <v>16</v>
      </c>
      <c r="F127" s="868">
        <v>8</v>
      </c>
      <c r="G127" s="868"/>
      <c r="I127" t="str">
        <f t="shared" ref="I127:I135" si="13">$K$123&amp;"_"&amp;J127</f>
        <v>Rustfast_stål_18</v>
      </c>
      <c r="J127">
        <v>18</v>
      </c>
      <c r="K127">
        <v>1</v>
      </c>
      <c r="L127" s="830">
        <f>2.6/6</f>
        <v>0.43333333333333335</v>
      </c>
      <c r="N127" t="str">
        <f t="shared" si="9"/>
        <v>PEX_40</v>
      </c>
      <c r="O127">
        <v>40</v>
      </c>
      <c r="P127">
        <v>3.7</v>
      </c>
      <c r="Q127">
        <v>0.26900000000000002</v>
      </c>
      <c r="T127" t="str">
        <f t="shared" si="10"/>
        <v>aluPEX_20</v>
      </c>
      <c r="U127">
        <v>20</v>
      </c>
      <c r="V127">
        <v>2</v>
      </c>
      <c r="W127">
        <v>0.16</v>
      </c>
      <c r="X127" t="str">
        <f t="shared" si="11"/>
        <v>Kobber_10</v>
      </c>
      <c r="Y127">
        <v>10</v>
      </c>
      <c r="Z127">
        <v>1</v>
      </c>
      <c r="AA127">
        <v>0.252</v>
      </c>
      <c r="AB127">
        <f t="shared" si="12"/>
        <v>2.52E-2</v>
      </c>
    </row>
    <row r="128" spans="1:32" hidden="1" x14ac:dyDescent="0.35">
      <c r="C128" s="868">
        <v>22</v>
      </c>
      <c r="D128" s="868">
        <v>18</v>
      </c>
      <c r="E128" s="868">
        <v>20</v>
      </c>
      <c r="F128" s="868">
        <v>10</v>
      </c>
      <c r="G128" s="868"/>
      <c r="I128" t="str">
        <f t="shared" si="13"/>
        <v>Rustfast_stål_22</v>
      </c>
      <c r="J128">
        <v>22</v>
      </c>
      <c r="K128">
        <v>1.2</v>
      </c>
      <c r="L128" s="830">
        <f>3.8/6</f>
        <v>0.6333333333333333</v>
      </c>
      <c r="N128" t="str">
        <f t="shared" si="9"/>
        <v>PEX_50</v>
      </c>
      <c r="O128">
        <v>50</v>
      </c>
      <c r="P128">
        <v>4.5</v>
      </c>
      <c r="Q128">
        <v>0.42599999999999999</v>
      </c>
      <c r="T128" t="str">
        <f t="shared" si="10"/>
        <v>aluPEX_26</v>
      </c>
      <c r="U128">
        <v>26</v>
      </c>
      <c r="V128">
        <v>3</v>
      </c>
      <c r="W128">
        <v>0.28999999999999998</v>
      </c>
      <c r="X128" t="str">
        <f t="shared" si="11"/>
        <v>Kobber_12</v>
      </c>
      <c r="Y128">
        <v>12</v>
      </c>
      <c r="Z128">
        <v>1</v>
      </c>
      <c r="AA128">
        <v>0.308</v>
      </c>
      <c r="AB128">
        <f t="shared" si="12"/>
        <v>2.5666666666666667E-2</v>
      </c>
    </row>
    <row r="129" spans="3:28" hidden="1" x14ac:dyDescent="0.35">
      <c r="C129" s="868">
        <v>28</v>
      </c>
      <c r="D129" s="868">
        <v>20</v>
      </c>
      <c r="E129" s="868">
        <v>26</v>
      </c>
      <c r="F129" s="868">
        <v>12</v>
      </c>
      <c r="G129" s="868"/>
      <c r="I129" t="str">
        <f t="shared" si="13"/>
        <v>Rustfast_stål_28</v>
      </c>
      <c r="J129">
        <v>28</v>
      </c>
      <c r="K129">
        <v>1.2</v>
      </c>
      <c r="L129" s="830">
        <f>4.9/6</f>
        <v>0.81666666666666676</v>
      </c>
      <c r="N129" t="str">
        <f t="shared" si="9"/>
        <v>PEX_63</v>
      </c>
      <c r="O129">
        <v>63</v>
      </c>
      <c r="P129">
        <v>5.8</v>
      </c>
      <c r="Q129">
        <v>1.04</v>
      </c>
      <c r="T129" t="str">
        <f t="shared" si="10"/>
        <v>aluPEX_32</v>
      </c>
      <c r="U129">
        <v>32</v>
      </c>
      <c r="V129">
        <v>3</v>
      </c>
      <c r="W129">
        <v>0.39</v>
      </c>
      <c r="X129" t="str">
        <f t="shared" si="11"/>
        <v>Kobber_15</v>
      </c>
      <c r="Y129">
        <v>15</v>
      </c>
      <c r="Z129">
        <v>1</v>
      </c>
      <c r="AA129">
        <v>0.39100000000000001</v>
      </c>
      <c r="AB129">
        <f t="shared" si="12"/>
        <v>2.6066666666666669E-2</v>
      </c>
    </row>
    <row r="130" spans="3:28" hidden="1" x14ac:dyDescent="0.35">
      <c r="C130" s="868">
        <v>35</v>
      </c>
      <c r="D130" s="868">
        <v>22</v>
      </c>
      <c r="E130" s="868">
        <v>32</v>
      </c>
      <c r="F130" s="868">
        <v>15</v>
      </c>
      <c r="G130" s="868"/>
      <c r="I130" t="str">
        <f t="shared" si="13"/>
        <v>Rustfast_stål_35</v>
      </c>
      <c r="J130">
        <v>35</v>
      </c>
      <c r="K130">
        <v>1.5</v>
      </c>
      <c r="L130" s="830">
        <f>7.8/6</f>
        <v>1.3</v>
      </c>
      <c r="N130" t="str">
        <f t="shared" si="9"/>
        <v>PEX_75</v>
      </c>
      <c r="O130">
        <v>75</v>
      </c>
      <c r="P130">
        <v>6.8</v>
      </c>
      <c r="Q130">
        <v>1.45</v>
      </c>
      <c r="T130" t="str">
        <f t="shared" si="10"/>
        <v>aluPEX_40</v>
      </c>
      <c r="U130">
        <v>40</v>
      </c>
      <c r="V130">
        <v>3.5</v>
      </c>
      <c r="W130">
        <v>0.61</v>
      </c>
      <c r="X130" t="str">
        <f t="shared" si="11"/>
        <v>Kobber_18</v>
      </c>
      <c r="Y130">
        <v>18</v>
      </c>
      <c r="Z130">
        <v>1</v>
      </c>
      <c r="AA130">
        <v>0.47499999999999998</v>
      </c>
      <c r="AB130">
        <f t="shared" si="12"/>
        <v>2.6388888888888889E-2</v>
      </c>
    </row>
    <row r="131" spans="3:28" hidden="1" x14ac:dyDescent="0.35">
      <c r="C131" s="868">
        <v>42</v>
      </c>
      <c r="D131" s="868">
        <v>25</v>
      </c>
      <c r="E131" s="868">
        <v>40</v>
      </c>
      <c r="F131" s="868">
        <v>18</v>
      </c>
      <c r="G131" s="868"/>
      <c r="I131" t="str">
        <f t="shared" si="13"/>
        <v>Rustfast_stål_42</v>
      </c>
      <c r="J131">
        <v>42</v>
      </c>
      <c r="K131">
        <v>1.5</v>
      </c>
      <c r="L131" s="830">
        <f>9.5/6</f>
        <v>1.5833333333333333</v>
      </c>
      <c r="N131" t="str">
        <f t="shared" si="9"/>
        <v>PEX_90</v>
      </c>
      <c r="O131">
        <v>90</v>
      </c>
      <c r="P131">
        <v>8.1999999999999993</v>
      </c>
      <c r="Q131">
        <v>2.1</v>
      </c>
      <c r="T131" t="str">
        <f t="shared" si="10"/>
        <v>aluPEX_53</v>
      </c>
      <c r="U131">
        <v>53</v>
      </c>
      <c r="V131">
        <v>4</v>
      </c>
      <c r="W131">
        <v>0.87</v>
      </c>
      <c r="X131" t="str">
        <f t="shared" si="11"/>
        <v>Kobber_22</v>
      </c>
      <c r="Y131">
        <v>22</v>
      </c>
      <c r="Z131">
        <v>1</v>
      </c>
      <c r="AA131">
        <v>0.58699999999999997</v>
      </c>
      <c r="AB131">
        <f t="shared" si="12"/>
        <v>2.6681818181818182E-2</v>
      </c>
    </row>
    <row r="132" spans="3:28" hidden="1" x14ac:dyDescent="0.35">
      <c r="C132" s="868">
        <v>54</v>
      </c>
      <c r="D132" s="868">
        <v>32</v>
      </c>
      <c r="E132" s="868">
        <v>53</v>
      </c>
      <c r="F132" s="868">
        <v>22</v>
      </c>
      <c r="G132" s="868"/>
      <c r="I132" t="str">
        <f t="shared" si="13"/>
        <v>Rustfast_stål_54</v>
      </c>
      <c r="J132">
        <v>54</v>
      </c>
      <c r="K132">
        <v>1.5</v>
      </c>
      <c r="L132" s="830">
        <f>12/6</f>
        <v>2</v>
      </c>
      <c r="N132" t="str">
        <f t="shared" si="9"/>
        <v>PEX_110</v>
      </c>
      <c r="O132">
        <v>110</v>
      </c>
      <c r="P132">
        <v>10</v>
      </c>
      <c r="Q132">
        <v>3.11</v>
      </c>
      <c r="T132" t="str">
        <f t="shared" si="10"/>
        <v>aluPEX_63</v>
      </c>
      <c r="U132">
        <v>63</v>
      </c>
      <c r="V132">
        <v>4.5</v>
      </c>
      <c r="W132">
        <v>1.32</v>
      </c>
      <c r="X132" t="str">
        <f t="shared" si="11"/>
        <v>Kobber_28</v>
      </c>
      <c r="Y132">
        <v>28</v>
      </c>
      <c r="Z132">
        <v>1.2</v>
      </c>
      <c r="AA132">
        <v>0.9</v>
      </c>
      <c r="AB132">
        <f t="shared" si="12"/>
        <v>3.2142857142857147E-2</v>
      </c>
    </row>
    <row r="133" spans="3:28" hidden="1" x14ac:dyDescent="0.35">
      <c r="C133" s="868">
        <v>76</v>
      </c>
      <c r="D133" s="868">
        <v>40</v>
      </c>
      <c r="E133" s="868">
        <v>63</v>
      </c>
      <c r="F133" s="868">
        <v>28</v>
      </c>
      <c r="G133" s="868"/>
      <c r="I133" t="str">
        <f t="shared" si="13"/>
        <v>Rustfast_stål_76</v>
      </c>
      <c r="J133">
        <v>76</v>
      </c>
      <c r="K133">
        <v>1.2</v>
      </c>
      <c r="L133" s="830">
        <f>23/6</f>
        <v>3.8333333333333335</v>
      </c>
      <c r="O133" t="s">
        <v>249</v>
      </c>
      <c r="P133">
        <f>AVERAGEA(P125:P132)</f>
        <v>5.5250000000000004</v>
      </c>
      <c r="Q133">
        <f>AVERAGE(Q125:Q132)</f>
        <v>1.0702499999999999</v>
      </c>
      <c r="U133" t="s">
        <v>249</v>
      </c>
      <c r="V133">
        <f>AVERAGEA(V125:V132)</f>
        <v>3</v>
      </c>
      <c r="W133" s="830">
        <f>AVERAGEA(W125:W132)</f>
        <v>0.48375000000000001</v>
      </c>
      <c r="X133" t="str">
        <f t="shared" si="11"/>
        <v>Kobber_35</v>
      </c>
      <c r="Y133">
        <v>35</v>
      </c>
      <c r="Z133">
        <v>1.5</v>
      </c>
      <c r="AA133">
        <v>1.4</v>
      </c>
      <c r="AB133">
        <f t="shared" si="12"/>
        <v>0.04</v>
      </c>
    </row>
    <row r="134" spans="3:28" hidden="1" x14ac:dyDescent="0.35">
      <c r="C134" s="868">
        <v>88</v>
      </c>
      <c r="D134" s="868">
        <v>50</v>
      </c>
      <c r="E134" s="868"/>
      <c r="F134" s="868">
        <v>35</v>
      </c>
      <c r="G134" s="868"/>
      <c r="I134" t="str">
        <f t="shared" si="13"/>
        <v>Rustfast_stål_88</v>
      </c>
      <c r="J134">
        <v>88</v>
      </c>
      <c r="K134">
        <v>2</v>
      </c>
      <c r="L134" s="830">
        <f>26/6</f>
        <v>4.333333333333333</v>
      </c>
      <c r="X134" t="str">
        <f t="shared" si="11"/>
        <v>Kobber_42</v>
      </c>
      <c r="Y134">
        <v>42</v>
      </c>
      <c r="Z134">
        <v>1.5</v>
      </c>
      <c r="AA134">
        <f>0.04*Y134</f>
        <v>1.68</v>
      </c>
      <c r="AB134">
        <f t="shared" si="12"/>
        <v>0.04</v>
      </c>
    </row>
    <row r="135" spans="3:28" hidden="1" x14ac:dyDescent="0.35">
      <c r="C135" s="868">
        <v>108</v>
      </c>
      <c r="D135" s="868">
        <v>63</v>
      </c>
      <c r="E135" s="868"/>
      <c r="F135" s="868">
        <v>42</v>
      </c>
      <c r="G135" s="868"/>
      <c r="I135" t="str">
        <f t="shared" si="13"/>
        <v>Rustfast_stål_108</v>
      </c>
      <c r="J135">
        <v>108</v>
      </c>
      <c r="K135">
        <v>2</v>
      </c>
      <c r="L135" s="830">
        <f>32/6</f>
        <v>5.333333333333333</v>
      </c>
      <c r="X135" t="str">
        <f t="shared" si="11"/>
        <v>Kobber_54</v>
      </c>
      <c r="Y135">
        <v>54</v>
      </c>
      <c r="Z135">
        <v>1.5</v>
      </c>
      <c r="AA135">
        <f>0.04*Y135</f>
        <v>2.16</v>
      </c>
      <c r="AB135">
        <f t="shared" si="12"/>
        <v>0.04</v>
      </c>
    </row>
    <row r="136" spans="3:28" hidden="1" x14ac:dyDescent="0.35">
      <c r="C136" s="868"/>
      <c r="D136" s="868">
        <v>75</v>
      </c>
      <c r="E136" s="868"/>
      <c r="F136" s="868">
        <v>54</v>
      </c>
      <c r="G136" s="868"/>
      <c r="J136" t="s">
        <v>249</v>
      </c>
      <c r="K136">
        <f>AVERAGEA(K126:K135)</f>
        <v>1.41</v>
      </c>
      <c r="L136">
        <f>AVERAGEA(L126:L135)</f>
        <v>2.0616666666666665</v>
      </c>
      <c r="Y136" t="s">
        <v>249</v>
      </c>
      <c r="Z136">
        <f>AVERAGEA(Z125:Z135)</f>
        <v>1.1545454545454545</v>
      </c>
      <c r="AA136">
        <f>AVERAGEA(AA125:AA135)</f>
        <v>0.77209090909090894</v>
      </c>
    </row>
    <row r="137" spans="3:28" hidden="1" x14ac:dyDescent="0.35">
      <c r="C137" s="868"/>
      <c r="D137" s="868">
        <v>90</v>
      </c>
      <c r="E137" s="868"/>
      <c r="F137" s="868"/>
      <c r="G137" s="868"/>
    </row>
    <row r="138" spans="3:28" hidden="1" x14ac:dyDescent="0.35">
      <c r="D138" s="868">
        <v>110</v>
      </c>
      <c r="J138" s="869" t="s">
        <v>250</v>
      </c>
    </row>
    <row r="139" spans="3:28" hidden="1" x14ac:dyDescent="0.35">
      <c r="Y139" t="s">
        <v>251</v>
      </c>
    </row>
    <row r="140" spans="3:28" hidden="1" x14ac:dyDescent="0.35">
      <c r="Y140" t="s">
        <v>252</v>
      </c>
    </row>
    <row r="141" spans="3:28" hidden="1" x14ac:dyDescent="0.35"/>
    <row r="142" spans="3:28" hidden="1" x14ac:dyDescent="0.35">
      <c r="L142" s="830"/>
    </row>
    <row r="143" spans="3:28" hidden="1" x14ac:dyDescent="0.35"/>
    <row r="144" spans="3:28" hidden="1" x14ac:dyDescent="0.35">
      <c r="L144" s="830"/>
      <c r="U144" t="s">
        <v>253</v>
      </c>
    </row>
    <row r="145" spans="15:22" hidden="1" x14ac:dyDescent="0.35"/>
    <row r="146" spans="15:22" x14ac:dyDescent="0.35">
      <c r="V146">
        <f>0.4254*3-0.835</f>
        <v>0.44120000000000004</v>
      </c>
    </row>
    <row r="147" spans="15:22" x14ac:dyDescent="0.35">
      <c r="O147" t="s">
        <v>253</v>
      </c>
    </row>
    <row r="167" spans="22:27" x14ac:dyDescent="0.35">
      <c r="V167">
        <f>50*PI()</f>
        <v>157.07963267948966</v>
      </c>
      <c r="X167">
        <f>PI()*0.025^2*1</f>
        <v>1.9634954084936209E-3</v>
      </c>
      <c r="Y167" t="s">
        <v>240</v>
      </c>
      <c r="Z167">
        <f>X168-X167</f>
        <v>6.8722339297276724E-2</v>
      </c>
      <c r="AA167" t="s">
        <v>240</v>
      </c>
    </row>
    <row r="168" spans="22:27" x14ac:dyDescent="0.35">
      <c r="V168">
        <f>150*PI()</f>
        <v>471.23889803846896</v>
      </c>
      <c r="X168">
        <f>PI()*0.15^2*1</f>
        <v>7.0685834705770348E-2</v>
      </c>
      <c r="Y168" t="s">
        <v>240</v>
      </c>
      <c r="Z168">
        <f>120*Z167</f>
        <v>8.2466807156732074</v>
      </c>
      <c r="AA168" t="s">
        <v>241</v>
      </c>
    </row>
    <row r="170" spans="22:27" x14ac:dyDescent="0.35">
      <c r="V170">
        <f>(150+50)*PI()</f>
        <v>628.31853071795865</v>
      </c>
      <c r="X170">
        <f>PI()*(2/(0.05))^2*1</f>
        <v>5026.5482457436692</v>
      </c>
      <c r="Y170" t="s">
        <v>240</v>
      </c>
      <c r="Z170" t="s">
        <v>254</v>
      </c>
    </row>
    <row r="171" spans="22:27" x14ac:dyDescent="0.35">
      <c r="X171" t="e">
        <f>PI()*(2/(N112+O112))*1000</f>
        <v>#DIV/0!</v>
      </c>
      <c r="Z171" t="s">
        <v>255</v>
      </c>
    </row>
  </sheetData>
  <sheetProtection algorithmName="SHA-512" hashValue="e0nvblN9r4TfIB8aA2TN9v+ph9fSFSslWk60mrQE2NgEw0ph9SFTXtDQLq1xX9f3PKauLvn0AQKJoQ+OEtBeZw==" saltValue="FRUnPMNDj3xFS1V3Et3TWg==" spinCount="100000" sheet="1" selectLockedCells="1" selectUnlockedCells="1"/>
  <mergeCells count="9">
    <mergeCell ref="Q1:T1"/>
    <mergeCell ref="B64:C64"/>
    <mergeCell ref="D64:E64"/>
    <mergeCell ref="D65:E65"/>
    <mergeCell ref="B65:C65"/>
    <mergeCell ref="F64:G64"/>
    <mergeCell ref="F65:G65"/>
    <mergeCell ref="H64:I64"/>
    <mergeCell ref="H65:I65"/>
  </mergeCells>
  <phoneticPr fontId="12" type="noConversion"/>
  <hyperlinks>
    <hyperlink ref="J138" r:id="rId1" xr:uid="{64565FD3-223F-4F8B-BD44-A92A35669813}"/>
  </hyperlinks>
  <pageMargins left="0.7" right="0.7" top="0.75" bottom="0.75" header="0.3" footer="0.3"/>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678CF-75A6-4801-8D0E-0CCEC33A1D18}">
  <dimension ref="A1:J439"/>
  <sheetViews>
    <sheetView zoomScale="70" zoomScaleNormal="70" workbookViewId="0">
      <selection activeCell="E29" sqref="E29"/>
    </sheetView>
  </sheetViews>
  <sheetFormatPr defaultRowHeight="14.5" x14ac:dyDescent="0.35"/>
  <cols>
    <col min="1" max="3" width="28.36328125" customWidth="1"/>
    <col min="4" max="4" width="28.54296875" customWidth="1"/>
    <col min="5" max="5" width="17" customWidth="1"/>
    <col min="6" max="6" width="37.54296875" customWidth="1"/>
    <col min="7" max="7" width="47.26953125" customWidth="1"/>
    <col min="8" max="8" width="11.6328125" customWidth="1"/>
  </cols>
  <sheetData>
    <row r="1" spans="1:8" x14ac:dyDescent="0.35">
      <c r="A1" t="s">
        <v>726</v>
      </c>
    </row>
    <row r="2" spans="1:8" x14ac:dyDescent="0.35">
      <c r="A2">
        <v>1</v>
      </c>
    </row>
    <row r="3" spans="1:8" x14ac:dyDescent="0.35">
      <c r="A3">
        <v>2</v>
      </c>
    </row>
    <row r="4" spans="1:8" x14ac:dyDescent="0.35">
      <c r="A4">
        <v>3</v>
      </c>
    </row>
    <row r="5" spans="1:8" x14ac:dyDescent="0.35">
      <c r="A5">
        <v>4</v>
      </c>
      <c r="C5" t="s">
        <v>1111</v>
      </c>
      <c r="D5" t="s">
        <v>46</v>
      </c>
      <c r="E5" t="s">
        <v>1117</v>
      </c>
      <c r="F5" t="s">
        <v>1118</v>
      </c>
      <c r="G5" t="s">
        <v>1119</v>
      </c>
      <c r="H5" t="s">
        <v>1120</v>
      </c>
    </row>
    <row r="6" spans="1:8" x14ac:dyDescent="0.35">
      <c r="A6">
        <v>5</v>
      </c>
      <c r="C6" t="s">
        <v>1112</v>
      </c>
      <c r="D6" t="s">
        <v>380</v>
      </c>
      <c r="E6">
        <v>12</v>
      </c>
      <c r="F6">
        <v>4</v>
      </c>
      <c r="G6">
        <v>3.6</v>
      </c>
      <c r="H6">
        <v>3.2</v>
      </c>
    </row>
    <row r="7" spans="1:8" x14ac:dyDescent="0.35">
      <c r="A7">
        <v>6</v>
      </c>
      <c r="C7" t="s">
        <v>1113</v>
      </c>
      <c r="D7" t="s">
        <v>380</v>
      </c>
      <c r="E7">
        <v>12</v>
      </c>
      <c r="F7">
        <v>6.7</v>
      </c>
      <c r="G7">
        <v>6</v>
      </c>
      <c r="H7">
        <v>5.4</v>
      </c>
    </row>
    <row r="8" spans="1:8" x14ac:dyDescent="0.35">
      <c r="A8">
        <v>7</v>
      </c>
      <c r="C8" t="s">
        <v>1114</v>
      </c>
      <c r="D8" t="s">
        <v>380</v>
      </c>
      <c r="E8">
        <v>12</v>
      </c>
      <c r="F8">
        <v>7.5</v>
      </c>
      <c r="G8">
        <v>6.8</v>
      </c>
      <c r="H8">
        <v>6.1</v>
      </c>
    </row>
    <row r="9" spans="1:8" x14ac:dyDescent="0.35">
      <c r="A9">
        <v>8</v>
      </c>
      <c r="C9" t="s">
        <v>408</v>
      </c>
      <c r="D9" t="s">
        <v>408</v>
      </c>
      <c r="E9">
        <v>12</v>
      </c>
      <c r="F9">
        <v>7.5</v>
      </c>
      <c r="G9">
        <v>6.8</v>
      </c>
      <c r="H9">
        <v>6.1</v>
      </c>
    </row>
    <row r="10" spans="1:8" x14ac:dyDescent="0.35">
      <c r="A10">
        <v>9</v>
      </c>
      <c r="C10" t="s">
        <v>1115</v>
      </c>
      <c r="D10" t="s">
        <v>395</v>
      </c>
      <c r="E10">
        <v>12</v>
      </c>
      <c r="F10">
        <v>8</v>
      </c>
      <c r="G10">
        <v>7.2</v>
      </c>
      <c r="H10">
        <v>6.4</v>
      </c>
    </row>
    <row r="11" spans="1:8" x14ac:dyDescent="0.35">
      <c r="A11">
        <v>10</v>
      </c>
      <c r="C11" t="s">
        <v>25</v>
      </c>
      <c r="D11" t="s">
        <v>25</v>
      </c>
      <c r="E11">
        <v>12</v>
      </c>
      <c r="F11">
        <v>8</v>
      </c>
      <c r="G11">
        <v>7.2</v>
      </c>
      <c r="H11">
        <v>6.4</v>
      </c>
    </row>
    <row r="12" spans="1:8" x14ac:dyDescent="0.35">
      <c r="A12">
        <v>11</v>
      </c>
      <c r="C12" t="s">
        <v>412</v>
      </c>
      <c r="D12" t="s">
        <v>412</v>
      </c>
      <c r="E12">
        <v>12</v>
      </c>
      <c r="F12">
        <v>8</v>
      </c>
      <c r="G12">
        <v>7.2</v>
      </c>
      <c r="H12">
        <v>6.4</v>
      </c>
    </row>
    <row r="13" spans="1:8" x14ac:dyDescent="0.35">
      <c r="A13">
        <v>12</v>
      </c>
      <c r="C13" t="s">
        <v>1116</v>
      </c>
      <c r="D13" t="s">
        <v>408</v>
      </c>
      <c r="E13">
        <v>12</v>
      </c>
      <c r="F13">
        <v>8</v>
      </c>
      <c r="G13">
        <v>7.2</v>
      </c>
      <c r="H13">
        <v>6.4</v>
      </c>
    </row>
    <row r="14" spans="1:8" x14ac:dyDescent="0.35">
      <c r="A14">
        <v>13</v>
      </c>
    </row>
    <row r="15" spans="1:8" x14ac:dyDescent="0.35">
      <c r="A15">
        <v>14</v>
      </c>
    </row>
    <row r="16" spans="1:8" x14ac:dyDescent="0.35">
      <c r="A16">
        <v>15</v>
      </c>
    </row>
    <row r="17" spans="1:10" x14ac:dyDescent="0.35">
      <c r="A17">
        <v>16</v>
      </c>
      <c r="C17" t="s">
        <v>1121</v>
      </c>
      <c r="D17" t="s">
        <v>46</v>
      </c>
      <c r="E17" t="s">
        <v>1117</v>
      </c>
      <c r="F17" t="s">
        <v>1118</v>
      </c>
      <c r="G17" t="s">
        <v>1119</v>
      </c>
      <c r="H17" t="s">
        <v>1120</v>
      </c>
    </row>
    <row r="18" spans="1:10" x14ac:dyDescent="0.35">
      <c r="A18">
        <v>17</v>
      </c>
      <c r="C18" s="1074" t="s">
        <v>1112</v>
      </c>
      <c r="D18" s="1076" t="s">
        <v>380</v>
      </c>
      <c r="E18">
        <v>8</v>
      </c>
      <c r="F18">
        <v>3.2</v>
      </c>
      <c r="G18">
        <v>2.8</v>
      </c>
      <c r="H18">
        <v>2.4</v>
      </c>
    </row>
    <row r="19" spans="1:10" x14ac:dyDescent="0.35">
      <c r="A19">
        <v>18</v>
      </c>
      <c r="C19" s="1075" t="s">
        <v>1113</v>
      </c>
      <c r="D19" s="1077" t="s">
        <v>380</v>
      </c>
      <c r="E19">
        <v>8</v>
      </c>
      <c r="F19">
        <v>5.4</v>
      </c>
      <c r="G19">
        <v>4.7</v>
      </c>
      <c r="H19">
        <v>4.0999999999999996</v>
      </c>
    </row>
    <row r="20" spans="1:10" x14ac:dyDescent="0.35">
      <c r="A20">
        <v>19</v>
      </c>
      <c r="C20" s="1074" t="s">
        <v>1114</v>
      </c>
      <c r="D20" s="1076" t="s">
        <v>380</v>
      </c>
      <c r="E20">
        <v>8</v>
      </c>
      <c r="F20">
        <v>6.1</v>
      </c>
      <c r="G20">
        <v>5.3</v>
      </c>
      <c r="H20">
        <v>4.5999999999999996</v>
      </c>
    </row>
    <row r="21" spans="1:10" x14ac:dyDescent="0.35">
      <c r="A21">
        <v>20</v>
      </c>
      <c r="C21" s="1075" t="s">
        <v>408</v>
      </c>
      <c r="D21" s="1077" t="s">
        <v>408</v>
      </c>
      <c r="E21">
        <v>8</v>
      </c>
      <c r="F21">
        <v>6.1</v>
      </c>
      <c r="G21">
        <v>5.3</v>
      </c>
      <c r="H21">
        <v>4.5999999999999996</v>
      </c>
    </row>
    <row r="22" spans="1:10" x14ac:dyDescent="0.35">
      <c r="A22">
        <v>21</v>
      </c>
      <c r="C22" s="1074" t="s">
        <v>1115</v>
      </c>
      <c r="D22" s="1076" t="s">
        <v>395</v>
      </c>
      <c r="E22">
        <v>8</v>
      </c>
      <c r="F22">
        <v>6.4</v>
      </c>
      <c r="G22">
        <v>5.5</v>
      </c>
      <c r="H22">
        <v>4.9000000000000004</v>
      </c>
    </row>
    <row r="23" spans="1:10" x14ac:dyDescent="0.35">
      <c r="A23">
        <v>22</v>
      </c>
      <c r="C23" s="1075" t="s">
        <v>25</v>
      </c>
      <c r="D23" s="1077" t="s">
        <v>25</v>
      </c>
      <c r="E23">
        <v>8</v>
      </c>
      <c r="F23">
        <v>6.4</v>
      </c>
      <c r="G23">
        <v>5.5</v>
      </c>
      <c r="H23">
        <v>4.9000000000000004</v>
      </c>
    </row>
    <row r="24" spans="1:10" x14ac:dyDescent="0.35">
      <c r="A24">
        <v>23</v>
      </c>
      <c r="C24" s="1074" t="s">
        <v>412</v>
      </c>
      <c r="D24" s="1076" t="s">
        <v>412</v>
      </c>
      <c r="E24">
        <v>8</v>
      </c>
      <c r="F24">
        <v>6.4</v>
      </c>
      <c r="G24">
        <v>5.5</v>
      </c>
      <c r="H24">
        <v>4.9000000000000004</v>
      </c>
    </row>
    <row r="25" spans="1:10" x14ac:dyDescent="0.35">
      <c r="A25">
        <v>24</v>
      </c>
      <c r="C25" s="1075" t="s">
        <v>1116</v>
      </c>
      <c r="D25" s="1077" t="s">
        <v>408</v>
      </c>
      <c r="E25">
        <v>8</v>
      </c>
      <c r="F25">
        <v>6.4</v>
      </c>
      <c r="G25">
        <v>5.5</v>
      </c>
      <c r="H25">
        <v>4.9000000000000004</v>
      </c>
    </row>
    <row r="26" spans="1:10" x14ac:dyDescent="0.35">
      <c r="A26">
        <v>25</v>
      </c>
    </row>
    <row r="27" spans="1:10" x14ac:dyDescent="0.35">
      <c r="A27">
        <v>26</v>
      </c>
    </row>
    <row r="28" spans="1:10" x14ac:dyDescent="0.35">
      <c r="A28">
        <v>27</v>
      </c>
    </row>
    <row r="29" spans="1:10" x14ac:dyDescent="0.35">
      <c r="A29">
        <v>28</v>
      </c>
    </row>
    <row r="30" spans="1:10" x14ac:dyDescent="0.35">
      <c r="A30">
        <v>29</v>
      </c>
    </row>
    <row r="31" spans="1:10" x14ac:dyDescent="0.35">
      <c r="A31">
        <v>30</v>
      </c>
    </row>
    <row r="32" spans="1:10" x14ac:dyDescent="0.35">
      <c r="A32">
        <v>31</v>
      </c>
      <c r="H32" s="686"/>
      <c r="I32" s="686"/>
      <c r="J32" s="686"/>
    </row>
    <row r="33" spans="1:10" x14ac:dyDescent="0.35">
      <c r="A33">
        <v>32</v>
      </c>
      <c r="H33" s="686" t="s">
        <v>770</v>
      </c>
      <c r="I33" s="686"/>
      <c r="J33" s="686" t="s">
        <v>811</v>
      </c>
    </row>
    <row r="34" spans="1:10" x14ac:dyDescent="0.35">
      <c r="A34">
        <v>33</v>
      </c>
      <c r="H34" s="686" t="s">
        <v>771</v>
      </c>
      <c r="I34" s="686"/>
      <c r="J34" s="686"/>
    </row>
    <row r="35" spans="1:10" x14ac:dyDescent="0.35">
      <c r="A35">
        <v>34</v>
      </c>
      <c r="H35" s="686"/>
      <c r="I35" s="686"/>
      <c r="J35" s="686" t="s">
        <v>811</v>
      </c>
    </row>
    <row r="36" spans="1:10" x14ac:dyDescent="0.35">
      <c r="A36">
        <v>35</v>
      </c>
      <c r="H36" s="686" t="s">
        <v>772</v>
      </c>
      <c r="I36" s="686"/>
      <c r="J36" s="686"/>
    </row>
    <row r="37" spans="1:10" x14ac:dyDescent="0.35">
      <c r="A37">
        <v>36</v>
      </c>
      <c r="H37" s="686" t="s">
        <v>770</v>
      </c>
      <c r="I37" s="686"/>
      <c r="J37" s="686" t="s">
        <v>787</v>
      </c>
    </row>
    <row r="38" spans="1:10" x14ac:dyDescent="0.35">
      <c r="A38">
        <v>37</v>
      </c>
      <c r="H38" s="686" t="s">
        <v>771</v>
      </c>
      <c r="I38" s="686"/>
      <c r="J38" s="686"/>
    </row>
    <row r="39" spans="1:10" x14ac:dyDescent="0.35">
      <c r="A39">
        <v>38</v>
      </c>
      <c r="H39" s="686"/>
      <c r="I39" s="686"/>
      <c r="J39" s="686" t="s">
        <v>786</v>
      </c>
    </row>
    <row r="40" spans="1:10" x14ac:dyDescent="0.35">
      <c r="A40">
        <v>39</v>
      </c>
      <c r="H40" s="686"/>
      <c r="I40" s="686"/>
      <c r="J40" s="686"/>
    </row>
    <row r="41" spans="1:10" x14ac:dyDescent="0.35">
      <c r="A41">
        <v>40</v>
      </c>
      <c r="H41" s="686" t="str" cm="1">
        <f t="array" ref="H41:H42">Er_der_kælder</f>
        <v>Ja</v>
      </c>
      <c r="I41" s="686"/>
      <c r="J41" s="686" t="s">
        <v>785</v>
      </c>
    </row>
    <row r="42" spans="1:10" x14ac:dyDescent="0.35">
      <c r="H42" s="686" t="str">
        <v>Nej</v>
      </c>
      <c r="I42" s="686"/>
      <c r="J42" s="686"/>
    </row>
    <row r="43" spans="1:10" x14ac:dyDescent="0.35">
      <c r="A43" t="s">
        <v>724</v>
      </c>
      <c r="B43" t="s">
        <v>734</v>
      </c>
      <c r="H43" s="686"/>
      <c r="I43" s="686"/>
      <c r="J43" s="686"/>
    </row>
    <row r="44" spans="1:10" x14ac:dyDescent="0.35">
      <c r="A44" t="s">
        <v>732</v>
      </c>
      <c r="B44">
        <v>0</v>
      </c>
      <c r="H44" s="686"/>
      <c r="I44" s="686"/>
      <c r="J44" s="686"/>
    </row>
    <row r="45" spans="1:10" x14ac:dyDescent="0.35">
      <c r="A45" t="s">
        <v>730</v>
      </c>
      <c r="B45">
        <v>10</v>
      </c>
      <c r="H45" s="686"/>
      <c r="I45" s="686"/>
      <c r="J45" s="686"/>
    </row>
    <row r="46" spans="1:10" x14ac:dyDescent="0.35">
      <c r="A46" t="s">
        <v>731</v>
      </c>
      <c r="B46">
        <v>20</v>
      </c>
    </row>
    <row r="47" spans="1:10" x14ac:dyDescent="0.35">
      <c r="A47" t="s">
        <v>725</v>
      </c>
      <c r="B47">
        <v>30</v>
      </c>
    </row>
    <row r="48" spans="1:10" x14ac:dyDescent="0.35">
      <c r="A48" t="s">
        <v>735</v>
      </c>
      <c r="B48">
        <v>45</v>
      </c>
    </row>
    <row r="49" spans="1:5" x14ac:dyDescent="0.35">
      <c r="A49" t="s">
        <v>733</v>
      </c>
      <c r="B49">
        <v>60</v>
      </c>
    </row>
    <row r="51" spans="1:5" x14ac:dyDescent="0.35">
      <c r="A51" t="s">
        <v>13</v>
      </c>
      <c r="B51" t="s">
        <v>76</v>
      </c>
      <c r="C51" t="s">
        <v>114</v>
      </c>
      <c r="D51" t="s">
        <v>36</v>
      </c>
    </row>
    <row r="52" spans="1:5" x14ac:dyDescent="0.35">
      <c r="A52" t="s">
        <v>382</v>
      </c>
      <c r="B52" s="687" t="s">
        <v>382</v>
      </c>
      <c r="C52" s="687" t="s">
        <v>382</v>
      </c>
      <c r="D52" s="687" t="s">
        <v>382</v>
      </c>
    </row>
    <row r="53" spans="1:5" x14ac:dyDescent="0.35">
      <c r="A53" t="s">
        <v>727</v>
      </c>
      <c r="B53" s="687" t="s">
        <v>727</v>
      </c>
      <c r="C53" s="687" t="s">
        <v>727</v>
      </c>
      <c r="D53" s="687" t="s">
        <v>727</v>
      </c>
    </row>
    <row r="54" spans="1:5" x14ac:dyDescent="0.35">
      <c r="A54" t="s">
        <v>396</v>
      </c>
      <c r="B54" s="687" t="s">
        <v>396</v>
      </c>
      <c r="C54" s="687" t="s">
        <v>396</v>
      </c>
      <c r="D54" s="687" t="s">
        <v>396</v>
      </c>
    </row>
    <row r="55" spans="1:5" x14ac:dyDescent="0.35">
      <c r="B55" s="687"/>
      <c r="C55" s="687"/>
      <c r="D55" s="687"/>
    </row>
    <row r="56" spans="1:5" x14ac:dyDescent="0.35">
      <c r="A56" t="s">
        <v>13</v>
      </c>
      <c r="B56" t="s">
        <v>762</v>
      </c>
      <c r="C56" t="s">
        <v>761</v>
      </c>
      <c r="D56" s="688" t="s">
        <v>971</v>
      </c>
      <c r="E56" t="s">
        <v>990</v>
      </c>
    </row>
    <row r="57" spans="1:5" x14ac:dyDescent="0.35">
      <c r="A57" t="s">
        <v>380</v>
      </c>
      <c r="B57">
        <v>10</v>
      </c>
      <c r="C57">
        <v>3</v>
      </c>
      <c r="D57" t="s">
        <v>374</v>
      </c>
      <c r="E57">
        <v>1</v>
      </c>
    </row>
    <row r="58" spans="1:5" x14ac:dyDescent="0.35">
      <c r="A58" t="s">
        <v>388</v>
      </c>
      <c r="B58">
        <f>(12.5+14.5)/2</f>
        <v>13.5</v>
      </c>
      <c r="C58">
        <f t="shared" ref="C58:C60" si="0">(3+3.5)/2</f>
        <v>3.25</v>
      </c>
      <c r="D58" t="s">
        <v>374</v>
      </c>
      <c r="E58">
        <v>1.35</v>
      </c>
    </row>
    <row r="59" spans="1:5" x14ac:dyDescent="0.35">
      <c r="A59" t="s">
        <v>395</v>
      </c>
      <c r="B59">
        <f>(11.5+13.5)/2</f>
        <v>12.5</v>
      </c>
      <c r="C59">
        <f t="shared" si="0"/>
        <v>3.25</v>
      </c>
      <c r="D59" t="s">
        <v>373</v>
      </c>
      <c r="E59">
        <v>1.35</v>
      </c>
    </row>
    <row r="60" spans="1:5" x14ac:dyDescent="0.35">
      <c r="A60" t="s">
        <v>400</v>
      </c>
      <c r="B60">
        <f>(12.5+14.5)/2</f>
        <v>13.5</v>
      </c>
      <c r="C60">
        <f t="shared" si="0"/>
        <v>3.25</v>
      </c>
      <c r="D60" t="s">
        <v>373</v>
      </c>
      <c r="E60">
        <v>1.35</v>
      </c>
    </row>
    <row r="61" spans="1:5" x14ac:dyDescent="0.35">
      <c r="A61" t="s">
        <v>25</v>
      </c>
      <c r="B61">
        <f>(12.5+14.5)/2</f>
        <v>13.5</v>
      </c>
      <c r="C61">
        <v>3.8</v>
      </c>
      <c r="D61" t="s">
        <v>374</v>
      </c>
      <c r="E61">
        <v>1.35</v>
      </c>
    </row>
    <row r="62" spans="1:5" x14ac:dyDescent="0.35">
      <c r="A62" t="s">
        <v>408</v>
      </c>
      <c r="B62">
        <f>(12.5+14.5)/2</f>
        <v>13.5</v>
      </c>
      <c r="C62">
        <v>3.5</v>
      </c>
      <c r="D62" t="s">
        <v>373</v>
      </c>
      <c r="E62">
        <v>1.35</v>
      </c>
    </row>
    <row r="63" spans="1:5" x14ac:dyDescent="0.35">
      <c r="A63" t="s">
        <v>412</v>
      </c>
      <c r="B63">
        <v>22.3</v>
      </c>
      <c r="C63">
        <v>4</v>
      </c>
      <c r="D63" t="s">
        <v>374</v>
      </c>
      <c r="E63">
        <v>1.35</v>
      </c>
    </row>
    <row r="66" spans="1:7" x14ac:dyDescent="0.35">
      <c r="A66" t="s">
        <v>764</v>
      </c>
      <c r="B66" t="s">
        <v>763</v>
      </c>
      <c r="F66" s="689"/>
      <c r="G66" s="689"/>
    </row>
    <row r="67" spans="1:7" x14ac:dyDescent="0.35">
      <c r="A67" t="s">
        <v>105</v>
      </c>
      <c r="B67">
        <v>3.6999999999999998E-2</v>
      </c>
    </row>
    <row r="68" spans="1:7" x14ac:dyDescent="0.35">
      <c r="A68" t="s">
        <v>852</v>
      </c>
      <c r="B68">
        <v>3.7999999999999999E-2</v>
      </c>
    </row>
    <row r="69" spans="1:7" x14ac:dyDescent="0.35">
      <c r="A69" t="s">
        <v>285</v>
      </c>
      <c r="B69">
        <v>0.04</v>
      </c>
    </row>
    <row r="70" spans="1:7" x14ac:dyDescent="0.35">
      <c r="A70" t="s">
        <v>286</v>
      </c>
      <c r="B70">
        <v>0.05</v>
      </c>
    </row>
    <row r="71" spans="1:7" x14ac:dyDescent="0.35">
      <c r="A71" t="s">
        <v>287</v>
      </c>
      <c r="B71">
        <v>3.1E-2</v>
      </c>
    </row>
    <row r="72" spans="1:7" x14ac:dyDescent="0.35">
      <c r="A72" t="s">
        <v>289</v>
      </c>
      <c r="B72">
        <v>3.3000000000000002E-2</v>
      </c>
    </row>
    <row r="73" spans="1:7" x14ac:dyDescent="0.35">
      <c r="A73" t="s">
        <v>290</v>
      </c>
      <c r="B73">
        <v>0.04</v>
      </c>
    </row>
    <row r="74" spans="1:7" x14ac:dyDescent="0.35">
      <c r="A74" t="s">
        <v>291</v>
      </c>
      <c r="B74">
        <v>3.6999999999999998E-2</v>
      </c>
    </row>
    <row r="75" spans="1:7" x14ac:dyDescent="0.35">
      <c r="A75" t="s">
        <v>292</v>
      </c>
      <c r="B75">
        <v>3.9E-2</v>
      </c>
    </row>
    <row r="76" spans="1:7" x14ac:dyDescent="0.35">
      <c r="A76" t="s">
        <v>293</v>
      </c>
      <c r="B76">
        <v>6.7000000000000004E-2</v>
      </c>
    </row>
    <row r="77" spans="1:7" x14ac:dyDescent="0.35">
      <c r="A77" t="s">
        <v>294</v>
      </c>
      <c r="B77">
        <v>0.04</v>
      </c>
    </row>
    <row r="78" spans="1:7" x14ac:dyDescent="0.35">
      <c r="A78" t="s">
        <v>103</v>
      </c>
      <c r="B78" s="687" t="s">
        <v>765</v>
      </c>
    </row>
    <row r="79" spans="1:7" x14ac:dyDescent="0.35">
      <c r="A79" t="s">
        <v>1000</v>
      </c>
      <c r="B79" s="687">
        <v>0.04</v>
      </c>
    </row>
    <row r="80" spans="1:7" x14ac:dyDescent="0.35">
      <c r="A80" t="s">
        <v>999</v>
      </c>
      <c r="B80" s="687">
        <v>0.04</v>
      </c>
    </row>
    <row r="81" spans="1:4" x14ac:dyDescent="0.35">
      <c r="A81" t="s">
        <v>997</v>
      </c>
      <c r="B81" s="687">
        <v>3.7999999999999999E-2</v>
      </c>
    </row>
    <row r="82" spans="1:4" x14ac:dyDescent="0.35">
      <c r="A82" t="s">
        <v>998</v>
      </c>
      <c r="B82" s="687">
        <v>3.7999999999999999E-2</v>
      </c>
    </row>
    <row r="83" spans="1:4" x14ac:dyDescent="0.35">
      <c r="A83" s="690" t="s">
        <v>995</v>
      </c>
      <c r="B83" s="691">
        <v>3.6999999999999998E-2</v>
      </c>
    </row>
    <row r="84" spans="1:4" x14ac:dyDescent="0.35">
      <c r="A84" t="s">
        <v>825</v>
      </c>
      <c r="B84" s="687">
        <v>3.7999999999999999E-2</v>
      </c>
    </row>
    <row r="85" spans="1:4" x14ac:dyDescent="0.35">
      <c r="A85" t="s">
        <v>996</v>
      </c>
      <c r="B85" s="687">
        <v>3.5000000000000003E-2</v>
      </c>
    </row>
    <row r="86" spans="1:4" x14ac:dyDescent="0.35">
      <c r="A86" t="str">
        <f>'LCA data'!$W$49</f>
        <v>Brugerdefineret_1</v>
      </c>
      <c r="B86" s="692">
        <f>VLOOKUP("Isolering"&amp;"_"&amp;A86,'LCA data'!$B$7:$X$360,12,FALSE)</f>
        <v>0</v>
      </c>
    </row>
    <row r="87" spans="1:4" x14ac:dyDescent="0.35">
      <c r="A87" t="str">
        <f>'LCA data'!$W$50</f>
        <v>Brugerdefineret_2</v>
      </c>
      <c r="B87" s="692">
        <f>VLOOKUP("Isolering"&amp;"_"&amp;A87,'LCA data'!$B$7:$X$360,12,FALSE)</f>
        <v>0</v>
      </c>
    </row>
    <row r="88" spans="1:4" x14ac:dyDescent="0.35">
      <c r="A88" t="str">
        <f>'LCA data'!$W$51</f>
        <v>Brugerdefineret_3</v>
      </c>
      <c r="B88" s="692">
        <f>VLOOKUP("Isolering"&amp;"_"&amp;A88,'LCA data'!$B$7:$X$360,12,FALSE)</f>
        <v>0</v>
      </c>
    </row>
    <row r="89" spans="1:4" x14ac:dyDescent="0.35">
      <c r="A89" t="s">
        <v>1002</v>
      </c>
      <c r="B89" s="692">
        <f>VLOOKUP("Isolering"&amp;"_"&amp;A89,'LCA data'!$B$7:$X$360,12,FALSE)</f>
        <v>0.04</v>
      </c>
    </row>
    <row r="90" spans="1:4" x14ac:dyDescent="0.35">
      <c r="A90" t="s">
        <v>1001</v>
      </c>
      <c r="B90">
        <v>3.6999999999999998E-2</v>
      </c>
    </row>
    <row r="92" spans="1:4" x14ac:dyDescent="0.35">
      <c r="A92" t="s">
        <v>46</v>
      </c>
      <c r="B92" t="s">
        <v>47</v>
      </c>
      <c r="D92" s="693" t="s">
        <v>46</v>
      </c>
    </row>
    <row r="93" spans="1:4" x14ac:dyDescent="0.35">
      <c r="A93" t="s">
        <v>811</v>
      </c>
      <c r="B93">
        <v>0</v>
      </c>
      <c r="D93" t="s">
        <v>786</v>
      </c>
    </row>
    <row r="94" spans="1:4" x14ac:dyDescent="0.35">
      <c r="A94" t="s">
        <v>787</v>
      </c>
      <c r="B94">
        <v>2</v>
      </c>
      <c r="D94" t="str">
        <f>Type_Tung_Middel_Let[[#This Row],[Column1]]</f>
        <v>Tung Konventionel</v>
      </c>
    </row>
    <row r="95" spans="1:4" x14ac:dyDescent="0.35">
      <c r="A95" t="s">
        <v>788</v>
      </c>
      <c r="B95">
        <v>3</v>
      </c>
      <c r="D95" t="str">
        <f>Type_Tung_Middel_Let[[#This Row],[Column1]]</f>
        <v>Middel Konventionel</v>
      </c>
    </row>
    <row r="96" spans="1:4" x14ac:dyDescent="0.35">
      <c r="A96" t="s">
        <v>807</v>
      </c>
      <c r="B96">
        <v>4</v>
      </c>
      <c r="D96" t="str">
        <f>Type_Tung_Middel_Let[[#This Row],[Column1]]</f>
        <v>Let Konventionel</v>
      </c>
    </row>
    <row r="97" spans="1:8" x14ac:dyDescent="0.35">
      <c r="A97" t="s">
        <v>810</v>
      </c>
      <c r="B97">
        <v>5</v>
      </c>
      <c r="D97" t="str">
        <f>Type_Tung_Middel_Let[[#This Row],[Column1]]</f>
        <v>Tung Lav Emission</v>
      </c>
    </row>
    <row r="98" spans="1:8" x14ac:dyDescent="0.35">
      <c r="A98" t="s">
        <v>809</v>
      </c>
      <c r="B98">
        <v>6</v>
      </c>
      <c r="D98" t="str">
        <f>Type_Tung_Middel_Let[[#This Row],[Column1]]</f>
        <v>Middel Lav Emission</v>
      </c>
    </row>
    <row r="99" spans="1:8" x14ac:dyDescent="0.35">
      <c r="A99" t="s">
        <v>808</v>
      </c>
      <c r="B99">
        <v>7</v>
      </c>
      <c r="D99" t="str">
        <f>Type_Tung_Middel_Let[[#This Row],[Column1]]</f>
        <v>Let Lav Emission</v>
      </c>
    </row>
    <row r="100" spans="1:8" x14ac:dyDescent="0.35">
      <c r="D100" t="s">
        <v>827</v>
      </c>
    </row>
    <row r="101" spans="1:8" ht="26" hidden="1" x14ac:dyDescent="0.6">
      <c r="A101" s="694" t="s">
        <v>826</v>
      </c>
    </row>
    <row r="102" spans="1:8" ht="15" hidden="1" thickBot="1" x14ac:dyDescent="0.4"/>
    <row r="103" spans="1:8" hidden="1" x14ac:dyDescent="0.35">
      <c r="A103" s="139" t="s">
        <v>740</v>
      </c>
      <c r="B103" s="695" t="s">
        <v>301</v>
      </c>
      <c r="C103" s="695"/>
      <c r="D103" s="695"/>
      <c r="E103" s="696"/>
      <c r="F103" s="697" t="s">
        <v>891</v>
      </c>
      <c r="G103" s="698" t="s">
        <v>751</v>
      </c>
      <c r="H103" s="689"/>
    </row>
    <row r="104" spans="1:8" hidden="1" x14ac:dyDescent="0.35">
      <c r="A104" s="141" t="s">
        <v>142</v>
      </c>
      <c r="B104" t="s">
        <v>739</v>
      </c>
      <c r="C104" t="s">
        <v>459</v>
      </c>
      <c r="D104" t="s">
        <v>767</v>
      </c>
      <c r="G104" s="142"/>
    </row>
    <row r="105" spans="1:8" hidden="1" x14ac:dyDescent="0.35">
      <c r="A105" s="141" t="s">
        <v>103</v>
      </c>
      <c r="B105" s="134">
        <v>0</v>
      </c>
      <c r="C105" t="s">
        <v>736</v>
      </c>
      <c r="D105">
        <v>0</v>
      </c>
      <c r="F105" s="699"/>
      <c r="G105" s="142"/>
    </row>
    <row r="106" spans="1:8" hidden="1" x14ac:dyDescent="0.35">
      <c r="A106" s="141" t="s">
        <v>108</v>
      </c>
      <c r="B106" s="700">
        <v>232.095</v>
      </c>
      <c r="C106" s="700" t="s">
        <v>736</v>
      </c>
      <c r="D106">
        <v>25</v>
      </c>
      <c r="F106" s="701" t="s">
        <v>892</v>
      </c>
      <c r="G106" s="702" t="s">
        <v>883</v>
      </c>
    </row>
    <row r="107" spans="1:8" hidden="1" x14ac:dyDescent="0.35">
      <c r="A107" s="141" t="s">
        <v>303</v>
      </c>
      <c r="B107" s="700">
        <v>187.66000000000003</v>
      </c>
      <c r="C107" s="700" t="s">
        <v>736</v>
      </c>
      <c r="D107">
        <v>15</v>
      </c>
      <c r="F107" s="703" t="s">
        <v>853</v>
      </c>
      <c r="G107" s="704" t="s">
        <v>896</v>
      </c>
    </row>
    <row r="108" spans="1:8" hidden="1" x14ac:dyDescent="0.35">
      <c r="A108" s="141" t="s">
        <v>109</v>
      </c>
      <c r="B108" s="700">
        <v>174.38</v>
      </c>
      <c r="C108" s="700" t="s">
        <v>736</v>
      </c>
      <c r="D108">
        <v>12</v>
      </c>
      <c r="F108" s="701" t="s">
        <v>893</v>
      </c>
      <c r="G108" s="702" t="s">
        <v>883</v>
      </c>
    </row>
    <row r="109" spans="1:8" hidden="1" x14ac:dyDescent="0.35">
      <c r="A109" s="141" t="s">
        <v>304</v>
      </c>
      <c r="B109" s="705">
        <v>276.97500000000002</v>
      </c>
      <c r="C109" s="700" t="s">
        <v>736</v>
      </c>
      <c r="D109">
        <v>16</v>
      </c>
      <c r="F109" s="701" t="s">
        <v>894</v>
      </c>
      <c r="G109" s="702" t="s">
        <v>883</v>
      </c>
    </row>
    <row r="110" spans="1:8" hidden="1" x14ac:dyDescent="0.35">
      <c r="A110" s="141" t="s">
        <v>305</v>
      </c>
      <c r="B110" s="700">
        <v>308.82</v>
      </c>
      <c r="C110" s="700" t="s">
        <v>736</v>
      </c>
      <c r="D110">
        <v>25</v>
      </c>
      <c r="F110" s="701" t="s">
        <v>895</v>
      </c>
      <c r="G110" s="702" t="s">
        <v>883</v>
      </c>
    </row>
    <row r="111" spans="1:8" hidden="1" x14ac:dyDescent="0.35">
      <c r="A111" s="141" t="s">
        <v>307</v>
      </c>
      <c r="B111" s="700">
        <v>427.02</v>
      </c>
      <c r="C111" s="700" t="s">
        <v>736</v>
      </c>
      <c r="D111">
        <v>20</v>
      </c>
      <c r="F111" s="703" t="s">
        <v>853</v>
      </c>
      <c r="G111" s="704" t="s">
        <v>896</v>
      </c>
    </row>
    <row r="112" spans="1:8" hidden="1" x14ac:dyDescent="0.35">
      <c r="A112" s="141" t="str">
        <f>'LCA data'!$W$73</f>
        <v>Genbrugs beklædning</v>
      </c>
      <c r="B112" s="700"/>
      <c r="C112" s="700"/>
      <c r="D112">
        <f>VLOOKUP($B$103&amp;"_"&amp;A112,'LCA data'!$B$7:$X$360,11,FALSE)</f>
        <v>1</v>
      </c>
      <c r="F112" s="703"/>
      <c r="G112" s="704"/>
    </row>
    <row r="113" spans="1:7" hidden="1" x14ac:dyDescent="0.35">
      <c r="A113" s="141" t="str">
        <f>'LCA data'!$W$74</f>
        <v>Brugerdefineret_1</v>
      </c>
      <c r="B113" s="700"/>
      <c r="C113" s="700"/>
      <c r="D113">
        <f>VLOOKUP($B$103&amp;"_"&amp;A113,'LCA data'!$B$7:$X$360,11,FALSE)</f>
        <v>1</v>
      </c>
      <c r="F113" s="701"/>
      <c r="G113" s="702"/>
    </row>
    <row r="114" spans="1:7" hidden="1" x14ac:dyDescent="0.35">
      <c r="A114" s="141" t="str">
        <f>'LCA data'!$W$75</f>
        <v>Brugerdefineret_2</v>
      </c>
      <c r="B114" s="700"/>
      <c r="C114" s="700"/>
      <c r="D114">
        <f>VLOOKUP($B$103&amp;"_"&amp;A114,'LCA data'!$B$7:$X$360,11,FALSE)</f>
        <v>1</v>
      </c>
      <c r="F114" s="701"/>
      <c r="G114" s="702"/>
    </row>
    <row r="115" spans="1:7" ht="15" hidden="1" thickBot="1" x14ac:dyDescent="0.4">
      <c r="A115" s="143" t="str">
        <f>'LCA data'!$W$76</f>
        <v>Brugerdefineret_3</v>
      </c>
      <c r="B115" s="706"/>
      <c r="C115" s="706"/>
      <c r="D115" s="145">
        <f>VLOOKUP($B$103&amp;"_"&amp;A115,'LCA data'!$B$7:$X$360,11,FALSE)</f>
        <v>1</v>
      </c>
      <c r="E115" s="145"/>
      <c r="F115" s="707" t="s">
        <v>853</v>
      </c>
      <c r="G115" s="708"/>
    </row>
    <row r="116" spans="1:7" hidden="1" x14ac:dyDescent="0.35">
      <c r="F116" s="699"/>
    </row>
    <row r="117" spans="1:7" ht="15" hidden="1" thickBot="1" x14ac:dyDescent="0.4"/>
    <row r="118" spans="1:7" hidden="1" x14ac:dyDescent="0.35">
      <c r="A118" s="1054" t="s">
        <v>741</v>
      </c>
      <c r="B118" s="1055"/>
      <c r="C118" s="1055"/>
      <c r="D118" s="695"/>
      <c r="E118" s="696"/>
      <c r="F118" s="695"/>
      <c r="G118" s="140"/>
    </row>
    <row r="119" spans="1:7" hidden="1" x14ac:dyDescent="0.35">
      <c r="A119" s="711" t="s">
        <v>142</v>
      </c>
      <c r="B119" s="712" t="s">
        <v>739</v>
      </c>
      <c r="C119" s="713" t="s">
        <v>459</v>
      </c>
      <c r="F119" s="699" t="s">
        <v>891</v>
      </c>
      <c r="G119" s="714" t="s">
        <v>751</v>
      </c>
    </row>
    <row r="120" spans="1:7" hidden="1" x14ac:dyDescent="0.35">
      <c r="A120" s="141" t="s">
        <v>103</v>
      </c>
      <c r="B120">
        <v>0</v>
      </c>
      <c r="C120" t="s">
        <v>736</v>
      </c>
      <c r="G120" s="142"/>
    </row>
    <row r="121" spans="1:7" hidden="1" x14ac:dyDescent="0.35">
      <c r="A121" s="141" t="s">
        <v>300</v>
      </c>
      <c r="B121" s="700">
        <v>661.29289999999992</v>
      </c>
      <c r="C121" s="700" t="s">
        <v>736</v>
      </c>
      <c r="F121" s="700" t="s">
        <v>907</v>
      </c>
      <c r="G121" s="702" t="s">
        <v>883</v>
      </c>
    </row>
    <row r="122" spans="1:7" hidden="1" x14ac:dyDescent="0.35">
      <c r="A122" s="141" t="s">
        <v>354</v>
      </c>
      <c r="B122" s="715">
        <v>1326.9522999999999</v>
      </c>
      <c r="C122" s="700" t="s">
        <v>736</v>
      </c>
      <c r="F122" s="716" t="s">
        <v>906</v>
      </c>
      <c r="G122" s="702" t="s">
        <v>883</v>
      </c>
    </row>
    <row r="123" spans="1:7" hidden="1" x14ac:dyDescent="0.35">
      <c r="A123" s="141" t="s">
        <v>309</v>
      </c>
      <c r="B123" s="700">
        <v>1326.9522999999999</v>
      </c>
      <c r="C123" s="700" t="s">
        <v>736</v>
      </c>
      <c r="F123" s="716" t="s">
        <v>906</v>
      </c>
      <c r="G123" s="702" t="s">
        <v>883</v>
      </c>
    </row>
    <row r="124" spans="1:7" hidden="1" x14ac:dyDescent="0.35">
      <c r="A124" s="141" t="s">
        <v>355</v>
      </c>
      <c r="B124" s="700">
        <v>2441.8022999999998</v>
      </c>
      <c r="C124" s="700" t="s">
        <v>736</v>
      </c>
      <c r="F124" s="717" t="s">
        <v>853</v>
      </c>
      <c r="G124" s="702" t="s">
        <v>910</v>
      </c>
    </row>
    <row r="125" spans="1:7" hidden="1" x14ac:dyDescent="0.35">
      <c r="A125" s="141" t="s">
        <v>356</v>
      </c>
      <c r="B125" s="700">
        <v>2500.2600000000002</v>
      </c>
      <c r="C125" s="700" t="s">
        <v>736</v>
      </c>
      <c r="F125" s="700" t="s">
        <v>908</v>
      </c>
      <c r="G125" s="702" t="s">
        <v>883</v>
      </c>
    </row>
    <row r="126" spans="1:7" hidden="1" x14ac:dyDescent="0.35">
      <c r="A126" s="141" t="s">
        <v>299</v>
      </c>
      <c r="B126" s="700">
        <v>1373.5</v>
      </c>
      <c r="C126" s="700" t="s">
        <v>736</v>
      </c>
      <c r="F126" s="717" t="s">
        <v>853</v>
      </c>
      <c r="G126" s="702" t="s">
        <v>905</v>
      </c>
    </row>
    <row r="127" spans="1:7" hidden="1" x14ac:dyDescent="0.35">
      <c r="A127" s="141" t="s">
        <v>298</v>
      </c>
      <c r="B127" s="700">
        <v>584.85599999999999</v>
      </c>
      <c r="C127" s="700" t="s">
        <v>736</v>
      </c>
      <c r="F127" s="700" t="s">
        <v>903</v>
      </c>
      <c r="G127" s="702" t="s">
        <v>883</v>
      </c>
    </row>
    <row r="128" spans="1:7" ht="15" hidden="1" thickBot="1" x14ac:dyDescent="0.4">
      <c r="A128" s="143" t="s">
        <v>107</v>
      </c>
      <c r="B128" s="706">
        <v>405.35999999999996</v>
      </c>
      <c r="C128" s="706" t="s">
        <v>736</v>
      </c>
      <c r="D128" s="145"/>
      <c r="E128" s="145"/>
      <c r="F128" s="706" t="s">
        <v>904</v>
      </c>
      <c r="G128" s="718" t="s">
        <v>883</v>
      </c>
    </row>
    <row r="129" spans="1:8" ht="15" hidden="1" thickBot="1" x14ac:dyDescent="0.4"/>
    <row r="130" spans="1:8" hidden="1" x14ac:dyDescent="0.35">
      <c r="A130" s="1054" t="s">
        <v>742</v>
      </c>
      <c r="B130" s="1055"/>
      <c r="C130" s="1055"/>
      <c r="D130" s="695"/>
      <c r="E130" s="696"/>
      <c r="F130" s="695"/>
      <c r="G130" s="140"/>
    </row>
    <row r="131" spans="1:8" hidden="1" x14ac:dyDescent="0.35">
      <c r="A131" s="711" t="s">
        <v>142</v>
      </c>
      <c r="B131" s="712" t="s">
        <v>739</v>
      </c>
      <c r="C131" s="713" t="s">
        <v>459</v>
      </c>
      <c r="F131" s="699" t="s">
        <v>891</v>
      </c>
      <c r="G131" s="714" t="s">
        <v>751</v>
      </c>
    </row>
    <row r="132" spans="1:8" hidden="1" x14ac:dyDescent="0.35">
      <c r="A132" s="141" t="s">
        <v>103</v>
      </c>
      <c r="B132">
        <v>0</v>
      </c>
      <c r="C132" t="s">
        <v>737</v>
      </c>
      <c r="G132" s="142"/>
    </row>
    <row r="133" spans="1:8" hidden="1" x14ac:dyDescent="0.35">
      <c r="A133" s="141" t="s">
        <v>105</v>
      </c>
      <c r="B133" s="719">
        <v>1001.2500000000001</v>
      </c>
      <c r="C133" s="700" t="s">
        <v>737</v>
      </c>
      <c r="F133" s="720" t="s">
        <v>934</v>
      </c>
      <c r="G133" s="721" t="s">
        <v>935</v>
      </c>
    </row>
    <row r="134" spans="1:8" hidden="1" x14ac:dyDescent="0.35">
      <c r="A134" s="141" t="s">
        <v>852</v>
      </c>
      <c r="B134" s="719">
        <v>1266.4118424242424</v>
      </c>
      <c r="C134" s="700" t="s">
        <v>737</v>
      </c>
      <c r="F134" s="720"/>
      <c r="G134" s="722" t="s">
        <v>936</v>
      </c>
      <c r="H134" s="723"/>
    </row>
    <row r="135" spans="1:8" hidden="1" x14ac:dyDescent="0.35">
      <c r="A135" s="141" t="s">
        <v>285</v>
      </c>
      <c r="B135" s="719">
        <v>785.37142857142862</v>
      </c>
      <c r="C135" s="700" t="s">
        <v>737</v>
      </c>
      <c r="F135" s="720"/>
      <c r="G135" s="722" t="s">
        <v>936</v>
      </c>
    </row>
    <row r="136" spans="1:8" hidden="1" x14ac:dyDescent="0.35">
      <c r="A136" s="141" t="s">
        <v>286</v>
      </c>
      <c r="B136" s="719">
        <v>9822.8433333333342</v>
      </c>
      <c r="C136" s="700" t="s">
        <v>737</v>
      </c>
      <c r="F136" s="724" t="s">
        <v>853</v>
      </c>
      <c r="G136" s="722" t="s">
        <v>984</v>
      </c>
    </row>
    <row r="137" spans="1:8" hidden="1" x14ac:dyDescent="0.35">
      <c r="A137" s="141" t="s">
        <v>287</v>
      </c>
      <c r="B137" s="719">
        <v>1713.0500000000002</v>
      </c>
      <c r="C137" s="700" t="s">
        <v>737</v>
      </c>
      <c r="F137" s="700"/>
      <c r="G137" s="704"/>
    </row>
    <row r="138" spans="1:8" hidden="1" x14ac:dyDescent="0.35">
      <c r="A138" s="141" t="s">
        <v>738</v>
      </c>
      <c r="B138" s="725">
        <v>2311.5833333333335</v>
      </c>
      <c r="C138" s="700" t="s">
        <v>737</v>
      </c>
      <c r="F138" s="724" t="s">
        <v>853</v>
      </c>
      <c r="G138" s="704" t="s">
        <v>986</v>
      </c>
    </row>
    <row r="139" spans="1:8" hidden="1" x14ac:dyDescent="0.35">
      <c r="A139" s="141" t="s">
        <v>290</v>
      </c>
      <c r="B139" s="719">
        <v>6643.583333333333</v>
      </c>
      <c r="C139" s="700" t="s">
        <v>737</v>
      </c>
      <c r="F139" s="726" t="s">
        <v>937</v>
      </c>
      <c r="G139" s="727" t="s">
        <v>853</v>
      </c>
    </row>
    <row r="140" spans="1:8" hidden="1" x14ac:dyDescent="0.35">
      <c r="A140" s="141" t="s">
        <v>291</v>
      </c>
      <c r="B140" s="719">
        <v>985.81666666666672</v>
      </c>
      <c r="C140" s="700" t="s">
        <v>737</v>
      </c>
      <c r="F140" s="720"/>
      <c r="G140" s="727" t="s">
        <v>970</v>
      </c>
    </row>
    <row r="141" spans="1:8" hidden="1" x14ac:dyDescent="0.35">
      <c r="A141" s="141" t="s">
        <v>292</v>
      </c>
      <c r="B141" s="725">
        <v>1200.1818181818185</v>
      </c>
      <c r="C141" s="700" t="s">
        <v>737</v>
      </c>
      <c r="F141" s="720"/>
      <c r="G141" s="727" t="s">
        <v>853</v>
      </c>
    </row>
    <row r="142" spans="1:8" hidden="1" x14ac:dyDescent="0.35">
      <c r="A142" s="141" t="s">
        <v>293</v>
      </c>
      <c r="B142" s="725">
        <v>2345.3033333333333</v>
      </c>
      <c r="C142" s="700" t="s">
        <v>737</v>
      </c>
      <c r="F142" s="724" t="s">
        <v>853</v>
      </c>
      <c r="G142" s="704" t="s">
        <v>986</v>
      </c>
    </row>
    <row r="143" spans="1:8" hidden="1" x14ac:dyDescent="0.35">
      <c r="A143" s="141" t="s">
        <v>825</v>
      </c>
      <c r="B143" s="719">
        <v>1553.765151515152</v>
      </c>
      <c r="C143" s="700" t="s">
        <v>737</v>
      </c>
      <c r="F143" s="700"/>
      <c r="G143" s="704"/>
    </row>
    <row r="144" spans="1:8" hidden="1" x14ac:dyDescent="0.35">
      <c r="A144" s="141" t="s">
        <v>294</v>
      </c>
      <c r="B144" s="719">
        <v>1867.2833333333333</v>
      </c>
      <c r="C144" s="700" t="s">
        <v>737</v>
      </c>
      <c r="F144" s="724" t="s">
        <v>853</v>
      </c>
      <c r="G144" s="704" t="s">
        <v>985</v>
      </c>
    </row>
    <row r="145" spans="1:7" hidden="1" x14ac:dyDescent="0.35">
      <c r="A145" s="141" t="s">
        <v>1000</v>
      </c>
      <c r="B145" s="719">
        <v>612.76</v>
      </c>
      <c r="C145" s="700" t="s">
        <v>737</v>
      </c>
      <c r="F145" s="700"/>
      <c r="G145" s="704"/>
    </row>
    <row r="146" spans="1:7" hidden="1" x14ac:dyDescent="0.35">
      <c r="A146" s="141" t="s">
        <v>999</v>
      </c>
      <c r="B146" s="719">
        <v>957.98285714285726</v>
      </c>
      <c r="C146" s="700" t="s">
        <v>737</v>
      </c>
      <c r="F146" s="700"/>
      <c r="G146" s="704"/>
    </row>
    <row r="147" spans="1:7" hidden="1" x14ac:dyDescent="0.35">
      <c r="A147" s="141" t="s">
        <v>997</v>
      </c>
      <c r="B147" s="719">
        <v>1200.1818181818185</v>
      </c>
      <c r="C147" s="700" t="s">
        <v>737</v>
      </c>
      <c r="F147" s="700"/>
      <c r="G147" s="704"/>
    </row>
    <row r="148" spans="1:7" hidden="1" x14ac:dyDescent="0.35">
      <c r="A148" s="141" t="s">
        <v>998</v>
      </c>
      <c r="B148" s="719">
        <v>1553.765151515152</v>
      </c>
      <c r="C148" s="700" t="s">
        <v>737</v>
      </c>
      <c r="F148" s="700"/>
      <c r="G148" s="704"/>
    </row>
    <row r="149" spans="1:7" hidden="1" x14ac:dyDescent="0.35">
      <c r="A149" s="141" t="s">
        <v>1001</v>
      </c>
      <c r="B149" s="725">
        <v>1200.1818181818185</v>
      </c>
      <c r="C149" s="700" t="s">
        <v>737</v>
      </c>
      <c r="F149" s="700"/>
      <c r="G149" s="704"/>
    </row>
    <row r="150" spans="1:7" hidden="1" x14ac:dyDescent="0.35">
      <c r="A150" s="141" t="s">
        <v>996</v>
      </c>
      <c r="B150" s="725">
        <v>974</v>
      </c>
      <c r="C150" s="700" t="s">
        <v>737</v>
      </c>
      <c r="F150" s="700"/>
      <c r="G150" s="704"/>
    </row>
    <row r="151" spans="1:7" ht="15" hidden="1" thickBot="1" x14ac:dyDescent="0.4">
      <c r="A151" s="728" t="s">
        <v>995</v>
      </c>
      <c r="B151" s="729">
        <v>973.8282312925171</v>
      </c>
      <c r="C151" s="730" t="s">
        <v>737</v>
      </c>
      <c r="D151" s="145"/>
      <c r="E151" s="145"/>
      <c r="F151" s="731"/>
      <c r="G151" s="732" t="s">
        <v>853</v>
      </c>
    </row>
    <row r="152" spans="1:7" ht="15.5" hidden="1" customHeight="1" thickBot="1" x14ac:dyDescent="0.4"/>
    <row r="153" spans="1:7" hidden="1" x14ac:dyDescent="0.35">
      <c r="A153" s="1054" t="s">
        <v>777</v>
      </c>
      <c r="B153" s="1055"/>
      <c r="C153" s="1055"/>
      <c r="D153" s="695"/>
      <c r="E153" s="696"/>
      <c r="F153" s="697" t="s">
        <v>891</v>
      </c>
      <c r="G153" s="698" t="s">
        <v>751</v>
      </c>
    </row>
    <row r="154" spans="1:7" hidden="1" x14ac:dyDescent="0.35">
      <c r="A154" s="711" t="s">
        <v>142</v>
      </c>
      <c r="B154" s="712" t="s">
        <v>739</v>
      </c>
      <c r="C154" s="713" t="s">
        <v>459</v>
      </c>
      <c r="D154" s="712"/>
      <c r="E154" s="712"/>
      <c r="F154" s="712"/>
      <c r="G154" s="733"/>
    </row>
    <row r="155" spans="1:7" hidden="1" x14ac:dyDescent="0.35">
      <c r="A155" s="141" t="s">
        <v>103</v>
      </c>
      <c r="B155">
        <v>0</v>
      </c>
      <c r="C155" t="s">
        <v>737</v>
      </c>
      <c r="G155" s="142"/>
    </row>
    <row r="156" spans="1:7" hidden="1" x14ac:dyDescent="0.35">
      <c r="A156" s="141" t="s">
        <v>105</v>
      </c>
      <c r="B156" s="719">
        <v>1001.2500000000001</v>
      </c>
      <c r="C156" s="700" t="s">
        <v>737</v>
      </c>
      <c r="F156" s="720" t="s">
        <v>934</v>
      </c>
      <c r="G156" s="721" t="s">
        <v>935</v>
      </c>
    </row>
    <row r="157" spans="1:7" hidden="1" x14ac:dyDescent="0.35">
      <c r="A157" s="141" t="s">
        <v>852</v>
      </c>
      <c r="B157" s="719">
        <v>1266.4118424242424</v>
      </c>
      <c r="C157" s="700" t="s">
        <v>737</v>
      </c>
      <c r="F157" s="720"/>
      <c r="G157" s="722" t="s">
        <v>936</v>
      </c>
    </row>
    <row r="158" spans="1:7" hidden="1" x14ac:dyDescent="0.35">
      <c r="A158" s="141" t="s">
        <v>285</v>
      </c>
      <c r="B158" s="719">
        <v>785.37142857142862</v>
      </c>
      <c r="C158" s="700" t="s">
        <v>737</v>
      </c>
      <c r="F158" s="720"/>
      <c r="G158" s="722" t="s">
        <v>936</v>
      </c>
    </row>
    <row r="159" spans="1:7" hidden="1" x14ac:dyDescent="0.35">
      <c r="A159" s="141" t="s">
        <v>286</v>
      </c>
      <c r="B159" s="719">
        <v>9822.8433333333342</v>
      </c>
      <c r="C159" s="700" t="s">
        <v>737</v>
      </c>
      <c r="F159" s="724" t="s">
        <v>853</v>
      </c>
      <c r="G159" s="722" t="s">
        <v>984</v>
      </c>
    </row>
    <row r="160" spans="1:7" hidden="1" x14ac:dyDescent="0.35">
      <c r="A160" s="141" t="s">
        <v>287</v>
      </c>
      <c r="B160" s="719">
        <v>1713.0500000000002</v>
      </c>
      <c r="C160" s="700" t="s">
        <v>737</v>
      </c>
      <c r="F160" s="700"/>
      <c r="G160" s="704"/>
    </row>
    <row r="161" spans="1:7" hidden="1" x14ac:dyDescent="0.35">
      <c r="A161" s="141" t="s">
        <v>738</v>
      </c>
      <c r="B161" s="725">
        <v>2311.5833333333335</v>
      </c>
      <c r="C161" s="700" t="s">
        <v>737</v>
      </c>
      <c r="F161" s="724" t="s">
        <v>853</v>
      </c>
      <c r="G161" s="704" t="s">
        <v>986</v>
      </c>
    </row>
    <row r="162" spans="1:7" hidden="1" x14ac:dyDescent="0.35">
      <c r="A162" s="141" t="s">
        <v>290</v>
      </c>
      <c r="B162" s="719">
        <v>6643.583333333333</v>
      </c>
      <c r="C162" s="700" t="s">
        <v>737</v>
      </c>
      <c r="F162" s="726" t="s">
        <v>937</v>
      </c>
      <c r="G162" s="727" t="s">
        <v>853</v>
      </c>
    </row>
    <row r="163" spans="1:7" hidden="1" x14ac:dyDescent="0.35">
      <c r="A163" s="141" t="s">
        <v>291</v>
      </c>
      <c r="B163" s="719">
        <v>985.81666666666672</v>
      </c>
      <c r="C163" s="700" t="s">
        <v>737</v>
      </c>
      <c r="F163" s="720"/>
      <c r="G163" s="727" t="s">
        <v>970</v>
      </c>
    </row>
    <row r="164" spans="1:7" hidden="1" x14ac:dyDescent="0.35">
      <c r="A164" s="141" t="s">
        <v>292</v>
      </c>
      <c r="B164" s="725">
        <v>1200.1818181818185</v>
      </c>
      <c r="C164" s="700" t="s">
        <v>737</v>
      </c>
      <c r="F164" s="720"/>
      <c r="G164" s="727" t="s">
        <v>853</v>
      </c>
    </row>
    <row r="165" spans="1:7" hidden="1" x14ac:dyDescent="0.35">
      <c r="A165" s="141" t="s">
        <v>293</v>
      </c>
      <c r="B165" s="725">
        <v>2345.3033333333333</v>
      </c>
      <c r="C165" s="700" t="s">
        <v>737</v>
      </c>
      <c r="F165" s="724" t="s">
        <v>853</v>
      </c>
      <c r="G165" s="704" t="s">
        <v>986</v>
      </c>
    </row>
    <row r="166" spans="1:7" hidden="1" x14ac:dyDescent="0.35">
      <c r="A166" s="141" t="s">
        <v>825</v>
      </c>
      <c r="B166" s="719">
        <v>1553.765151515152</v>
      </c>
      <c r="C166" s="700" t="s">
        <v>737</v>
      </c>
      <c r="F166" s="700"/>
      <c r="G166" s="704"/>
    </row>
    <row r="167" spans="1:7" hidden="1" x14ac:dyDescent="0.35">
      <c r="A167" s="141" t="s">
        <v>294</v>
      </c>
      <c r="B167" s="719">
        <v>1867.2833333333333</v>
      </c>
      <c r="C167" s="700" t="s">
        <v>737</v>
      </c>
      <c r="F167" s="724" t="s">
        <v>853</v>
      </c>
      <c r="G167" s="704" t="s">
        <v>985</v>
      </c>
    </row>
    <row r="168" spans="1:7" hidden="1" x14ac:dyDescent="0.35">
      <c r="A168" s="141" t="s">
        <v>1000</v>
      </c>
      <c r="B168" s="719">
        <v>612.76</v>
      </c>
      <c r="C168" s="700" t="s">
        <v>737</v>
      </c>
      <c r="F168" s="700"/>
      <c r="G168" s="704"/>
    </row>
    <row r="169" spans="1:7" hidden="1" x14ac:dyDescent="0.35">
      <c r="A169" s="141" t="s">
        <v>999</v>
      </c>
      <c r="B169" s="719">
        <v>957.98285714285726</v>
      </c>
      <c r="C169" s="700" t="s">
        <v>737</v>
      </c>
      <c r="F169" s="700"/>
      <c r="G169" s="704"/>
    </row>
    <row r="170" spans="1:7" hidden="1" x14ac:dyDescent="0.35">
      <c r="A170" s="141" t="s">
        <v>997</v>
      </c>
      <c r="B170" s="719">
        <v>1200.1818181818185</v>
      </c>
      <c r="C170" s="700" t="s">
        <v>737</v>
      </c>
      <c r="F170" s="700"/>
      <c r="G170" s="704"/>
    </row>
    <row r="171" spans="1:7" hidden="1" x14ac:dyDescent="0.35">
      <c r="A171" s="141" t="s">
        <v>998</v>
      </c>
      <c r="B171" s="719">
        <v>1553.765151515152</v>
      </c>
      <c r="C171" s="700" t="s">
        <v>737</v>
      </c>
      <c r="F171" s="700"/>
      <c r="G171" s="704"/>
    </row>
    <row r="172" spans="1:7" hidden="1" x14ac:dyDescent="0.35">
      <c r="A172" s="141" t="s">
        <v>1001</v>
      </c>
      <c r="B172" s="725">
        <v>1200.1818181818185</v>
      </c>
      <c r="C172" s="700" t="s">
        <v>737</v>
      </c>
      <c r="F172" s="700"/>
      <c r="G172" s="704"/>
    </row>
    <row r="173" spans="1:7" hidden="1" x14ac:dyDescent="0.35">
      <c r="A173" s="141" t="s">
        <v>996</v>
      </c>
      <c r="B173" s="725">
        <v>974</v>
      </c>
      <c r="C173" s="700" t="s">
        <v>737</v>
      </c>
      <c r="F173" s="700"/>
      <c r="G173" s="704"/>
    </row>
    <row r="174" spans="1:7" ht="15" hidden="1" thickBot="1" x14ac:dyDescent="0.4">
      <c r="A174" s="728" t="s">
        <v>995</v>
      </c>
      <c r="B174" s="729">
        <v>973.8282312925171</v>
      </c>
      <c r="C174" s="730" t="s">
        <v>737</v>
      </c>
      <c r="D174" s="145"/>
      <c r="E174" s="145"/>
      <c r="F174" s="731"/>
      <c r="G174" s="732" t="s">
        <v>853</v>
      </c>
    </row>
    <row r="175" spans="1:7" ht="15" hidden="1" thickBot="1" x14ac:dyDescent="0.4">
      <c r="B175" s="734"/>
      <c r="C175" s="315"/>
    </row>
    <row r="176" spans="1:7" hidden="1" x14ac:dyDescent="0.35">
      <c r="A176" s="1054" t="s">
        <v>748</v>
      </c>
      <c r="B176" s="1055"/>
      <c r="C176" s="1055"/>
      <c r="D176" s="695"/>
      <c r="E176" s="696"/>
      <c r="F176" s="695"/>
      <c r="G176" s="140"/>
    </row>
    <row r="177" spans="1:7" hidden="1" x14ac:dyDescent="0.35">
      <c r="A177" s="711" t="s">
        <v>142</v>
      </c>
      <c r="B177" s="712" t="s">
        <v>739</v>
      </c>
      <c r="C177" s="712" t="s">
        <v>459</v>
      </c>
      <c r="F177" s="699" t="s">
        <v>891</v>
      </c>
      <c r="G177" s="714" t="s">
        <v>751</v>
      </c>
    </row>
    <row r="178" spans="1:7" hidden="1" x14ac:dyDescent="0.35">
      <c r="A178" s="735" t="s">
        <v>103</v>
      </c>
      <c r="B178">
        <v>0</v>
      </c>
      <c r="C178" s="736" t="s">
        <v>736</v>
      </c>
      <c r="F178" t="s">
        <v>753</v>
      </c>
      <c r="G178" s="142"/>
    </row>
    <row r="179" spans="1:7" hidden="1" x14ac:dyDescent="0.35">
      <c r="A179" s="141" t="s">
        <v>346</v>
      </c>
      <c r="B179" s="700">
        <v>3684.33</v>
      </c>
      <c r="C179" s="700" t="s">
        <v>736</v>
      </c>
      <c r="F179" s="737" t="s">
        <v>938</v>
      </c>
      <c r="G179" s="704" t="s">
        <v>935</v>
      </c>
    </row>
    <row r="180" spans="1:7" hidden="1" x14ac:dyDescent="0.35">
      <c r="A180" s="141" t="s">
        <v>347</v>
      </c>
      <c r="B180" s="700">
        <v>3684.33</v>
      </c>
      <c r="C180" s="738" t="s">
        <v>736</v>
      </c>
      <c r="F180" s="737" t="s">
        <v>938</v>
      </c>
      <c r="G180" s="704" t="s">
        <v>939</v>
      </c>
    </row>
    <row r="181" spans="1:7" ht="15" hidden="1" thickBot="1" x14ac:dyDescent="0.4">
      <c r="A181" s="143" t="s">
        <v>348</v>
      </c>
      <c r="B181" s="739">
        <v>4026.02</v>
      </c>
      <c r="C181" s="706" t="s">
        <v>736</v>
      </c>
      <c r="D181" s="145"/>
      <c r="E181" s="145"/>
      <c r="F181" s="740" t="s">
        <v>940</v>
      </c>
      <c r="G181" s="708" t="s">
        <v>941</v>
      </c>
    </row>
    <row r="182" spans="1:7" hidden="1" x14ac:dyDescent="0.35"/>
    <row r="183" spans="1:7" ht="15" hidden="1" thickBot="1" x14ac:dyDescent="0.4"/>
    <row r="184" spans="1:7" hidden="1" x14ac:dyDescent="0.35">
      <c r="A184" s="709" t="s">
        <v>750</v>
      </c>
      <c r="B184" s="710" t="s">
        <v>269</v>
      </c>
      <c r="C184" s="710"/>
      <c r="D184" s="695"/>
      <c r="E184" s="696"/>
      <c r="F184" s="697" t="s">
        <v>891</v>
      </c>
      <c r="G184" s="698" t="s">
        <v>751</v>
      </c>
    </row>
    <row r="185" spans="1:7" hidden="1" x14ac:dyDescent="0.35">
      <c r="A185" s="141" t="s">
        <v>142</v>
      </c>
      <c r="B185" t="s">
        <v>739</v>
      </c>
      <c r="C185" t="s">
        <v>459</v>
      </c>
      <c r="D185" t="s">
        <v>767</v>
      </c>
      <c r="G185" s="142"/>
    </row>
    <row r="186" spans="1:7" hidden="1" x14ac:dyDescent="0.35">
      <c r="A186" s="735" t="s">
        <v>103</v>
      </c>
      <c r="B186">
        <v>0</v>
      </c>
      <c r="C186" s="741" t="s">
        <v>736</v>
      </c>
      <c r="D186" s="741">
        <v>0</v>
      </c>
      <c r="F186" t="s">
        <v>753</v>
      </c>
      <c r="G186" s="142"/>
    </row>
    <row r="187" spans="1:7" ht="29" hidden="1" x14ac:dyDescent="0.35">
      <c r="A187" s="141" t="s">
        <v>271</v>
      </c>
      <c r="B187" s="742">
        <v>1539.66</v>
      </c>
      <c r="C187" s="700" t="s">
        <v>736</v>
      </c>
      <c r="D187">
        <v>108</v>
      </c>
      <c r="F187" s="743" t="s">
        <v>927</v>
      </c>
      <c r="G187" s="744" t="s">
        <v>921</v>
      </c>
    </row>
    <row r="188" spans="1:7" hidden="1" x14ac:dyDescent="0.35">
      <c r="A188" s="141" t="s">
        <v>272</v>
      </c>
      <c r="B188" s="745">
        <v>2441.8022999999998</v>
      </c>
      <c r="C188" s="746" t="s">
        <v>736</v>
      </c>
      <c r="D188">
        <v>108</v>
      </c>
      <c r="F188" s="717" t="s">
        <v>853</v>
      </c>
      <c r="G188" s="702" t="s">
        <v>910</v>
      </c>
    </row>
    <row r="189" spans="1:7" hidden="1" x14ac:dyDescent="0.35">
      <c r="A189" s="141" t="s">
        <v>101</v>
      </c>
      <c r="B189" s="747">
        <v>1211.68</v>
      </c>
      <c r="C189" s="700" t="s">
        <v>736</v>
      </c>
      <c r="D189">
        <v>70</v>
      </c>
      <c r="F189" s="748" t="s">
        <v>928</v>
      </c>
      <c r="G189" s="744" t="s">
        <v>921</v>
      </c>
    </row>
    <row r="190" spans="1:7" hidden="1" x14ac:dyDescent="0.35">
      <c r="A190" s="141" t="s">
        <v>273</v>
      </c>
      <c r="B190" s="749">
        <v>960.54</v>
      </c>
      <c r="C190" s="746" t="s">
        <v>736</v>
      </c>
      <c r="D190">
        <f>VLOOKUP($B$184&amp;"_"&amp;A190,'LCA data'!$B$7:$X$360,11,FALSE)</f>
        <v>8</v>
      </c>
      <c r="F190" s="748" t="s">
        <v>929</v>
      </c>
      <c r="G190" s="744" t="s">
        <v>921</v>
      </c>
    </row>
    <row r="191" spans="1:7" hidden="1" x14ac:dyDescent="0.35">
      <c r="A191" s="141" t="s">
        <v>274</v>
      </c>
      <c r="B191" s="749">
        <v>1562.75</v>
      </c>
      <c r="C191" s="700" t="s">
        <v>736</v>
      </c>
      <c r="D191">
        <f>VLOOKUP($B$184&amp;"_"&amp;A191,'LCA data'!$B$7:$X$360,11,FALSE)</f>
        <v>1</v>
      </c>
      <c r="F191" s="716" t="s">
        <v>930</v>
      </c>
      <c r="G191" s="744" t="s">
        <v>921</v>
      </c>
    </row>
    <row r="192" spans="1:7" hidden="1" x14ac:dyDescent="0.35">
      <c r="A192" s="141" t="s">
        <v>275</v>
      </c>
      <c r="B192" s="750">
        <v>1693.19</v>
      </c>
      <c r="C192" s="746" t="s">
        <v>736</v>
      </c>
      <c r="D192">
        <f>VLOOKUP($B$184&amp;"_"&amp;A192,'LCA data'!$B$7:$X$360,11,FALSE)</f>
        <v>1</v>
      </c>
      <c r="F192" s="716" t="s">
        <v>931</v>
      </c>
      <c r="G192" s="744" t="s">
        <v>921</v>
      </c>
    </row>
    <row r="193" spans="1:7" hidden="1" x14ac:dyDescent="0.35">
      <c r="A193" s="141" t="s">
        <v>102</v>
      </c>
      <c r="B193" s="749">
        <v>1245.1300000000001</v>
      </c>
      <c r="C193" s="700" t="s">
        <v>736</v>
      </c>
      <c r="D193">
        <f>VLOOKUP($B$184&amp;"_"&amp;A193,'LCA data'!$B$7:$X$360,11,FALSE)</f>
        <v>25</v>
      </c>
      <c r="F193" s="716" t="s">
        <v>932</v>
      </c>
      <c r="G193" s="744" t="s">
        <v>921</v>
      </c>
    </row>
    <row r="194" spans="1:7" hidden="1" x14ac:dyDescent="0.35">
      <c r="A194" s="141" t="s">
        <v>276</v>
      </c>
      <c r="B194" s="749">
        <v>1858.07</v>
      </c>
      <c r="C194" s="746" t="s">
        <v>736</v>
      </c>
      <c r="D194">
        <f>VLOOKUP($B$184&amp;"_"&amp;A194,'LCA data'!$B$7:$X$360,11,FALSE)</f>
        <v>18</v>
      </c>
      <c r="F194" s="748" t="s">
        <v>933</v>
      </c>
      <c r="G194" s="744" t="s">
        <v>921</v>
      </c>
    </row>
    <row r="195" spans="1:7" hidden="1" x14ac:dyDescent="0.35">
      <c r="A195" s="141" t="s">
        <v>277</v>
      </c>
      <c r="B195" s="751">
        <v>1269.2</v>
      </c>
      <c r="C195" s="746" t="s">
        <v>736</v>
      </c>
      <c r="D195">
        <f>VLOOKUP($B$184&amp;"_"&amp;A195,'LCA data'!$B$7:$X$360,11,FALSE)</f>
        <v>8</v>
      </c>
      <c r="F195" s="716" t="s">
        <v>885</v>
      </c>
      <c r="G195" s="744" t="s">
        <v>921</v>
      </c>
    </row>
    <row r="196" spans="1:7" hidden="1" x14ac:dyDescent="0.35">
      <c r="A196" s="141" t="s">
        <v>278</v>
      </c>
      <c r="B196" s="700">
        <v>940.96</v>
      </c>
      <c r="C196" s="700" t="s">
        <v>736</v>
      </c>
      <c r="D196">
        <f>VLOOKUP($B$184&amp;"_"&amp;A196,'LCA data'!$B$7:$X$360,11,FALSE)</f>
        <v>25</v>
      </c>
      <c r="F196" s="752" t="s">
        <v>853</v>
      </c>
      <c r="G196" s="704"/>
    </row>
    <row r="197" spans="1:7" hidden="1" x14ac:dyDescent="0.35">
      <c r="A197" s="141" t="s">
        <v>279</v>
      </c>
      <c r="B197" s="700">
        <v>1339.79</v>
      </c>
      <c r="C197" s="746" t="s">
        <v>736</v>
      </c>
      <c r="D197">
        <f>VLOOKUP($B$184&amp;"_"&amp;A197,'LCA data'!$B$7:$X$360,11,FALSE)</f>
        <v>27</v>
      </c>
      <c r="F197" s="752" t="s">
        <v>853</v>
      </c>
      <c r="G197" s="704"/>
    </row>
    <row r="198" spans="1:7" hidden="1" x14ac:dyDescent="0.35">
      <c r="A198" s="141" t="s">
        <v>869</v>
      </c>
      <c r="B198" s="700">
        <v>1950</v>
      </c>
      <c r="C198" s="746" t="s">
        <v>736</v>
      </c>
      <c r="D198">
        <f>VLOOKUP($B$184&amp;"_"&amp;A198,'LCA data'!$B$7:$X$360,11,FALSE)</f>
        <v>108</v>
      </c>
      <c r="F198" s="716" t="s">
        <v>752</v>
      </c>
      <c r="G198" s="704"/>
    </row>
    <row r="199" spans="1:7" hidden="1" x14ac:dyDescent="0.35">
      <c r="A199" s="141" t="s">
        <v>1003</v>
      </c>
      <c r="B199" s="700"/>
      <c r="C199" s="753"/>
      <c r="D199">
        <f>VLOOKUP($B$184&amp;"_"&amp;A199,'LCA data'!$B$7:$X$360,11,FALSE)</f>
        <v>1</v>
      </c>
      <c r="F199" s="716"/>
      <c r="G199" s="704"/>
    </row>
    <row r="200" spans="1:7" hidden="1" x14ac:dyDescent="0.35">
      <c r="A200" s="141" t="str">
        <f>'LCA data'!$W$22</f>
        <v>Brugerdefineret_1</v>
      </c>
      <c r="B200" s="700"/>
      <c r="C200" s="746"/>
      <c r="D200">
        <f>VLOOKUP($B$184&amp;"_"&amp;A200,'LCA data'!$B$7:$X$360,11,FALSE)</f>
        <v>1</v>
      </c>
      <c r="F200" s="752"/>
      <c r="G200" s="704"/>
    </row>
    <row r="201" spans="1:7" hidden="1" x14ac:dyDescent="0.35">
      <c r="A201" s="141" t="str">
        <f>'LCA data'!$W$23</f>
        <v>Brugerdefineret_2</v>
      </c>
      <c r="B201" s="700"/>
      <c r="C201" s="746"/>
      <c r="D201">
        <f>VLOOKUP($B$184&amp;"_"&amp;A201,'LCA data'!$B$7:$X$360,11,FALSE)</f>
        <v>1</v>
      </c>
      <c r="F201" s="752"/>
      <c r="G201" s="704"/>
    </row>
    <row r="202" spans="1:7" ht="15" hidden="1" thickBot="1" x14ac:dyDescent="0.4">
      <c r="A202" s="141" t="str">
        <f>'LCA data'!$W$24</f>
        <v>Brugerdefineret_3</v>
      </c>
      <c r="B202" s="706"/>
      <c r="C202" s="754"/>
      <c r="D202" s="145">
        <f>VLOOKUP($B$184&amp;"_"&amp;A202,'LCA data'!$B$7:$X$360,11,FALSE)</f>
        <v>1</v>
      </c>
      <c r="E202" s="145"/>
      <c r="F202" s="755"/>
      <c r="G202" s="708"/>
    </row>
    <row r="203" spans="1:7" ht="15" hidden="1" thickBot="1" x14ac:dyDescent="0.4"/>
    <row r="204" spans="1:7" hidden="1" x14ac:dyDescent="0.35">
      <c r="A204" s="709" t="s">
        <v>755</v>
      </c>
      <c r="B204" s="710"/>
      <c r="C204" s="710"/>
      <c r="D204" s="695"/>
      <c r="E204" s="695"/>
      <c r="F204" s="695"/>
      <c r="G204" s="140"/>
    </row>
    <row r="205" spans="1:7" hidden="1" x14ac:dyDescent="0.35">
      <c r="A205" s="141" t="s">
        <v>142</v>
      </c>
      <c r="B205" t="s">
        <v>739</v>
      </c>
      <c r="C205" t="s">
        <v>459</v>
      </c>
      <c r="F205" s="699" t="s">
        <v>891</v>
      </c>
      <c r="G205" s="714" t="s">
        <v>751</v>
      </c>
    </row>
    <row r="206" spans="1:7" hidden="1" x14ac:dyDescent="0.35">
      <c r="A206" s="735" t="s">
        <v>103</v>
      </c>
      <c r="B206">
        <v>0</v>
      </c>
      <c r="C206" s="756" t="s">
        <v>736</v>
      </c>
      <c r="G206" s="142"/>
    </row>
    <row r="207" spans="1:7" hidden="1" x14ac:dyDescent="0.35">
      <c r="A207" s="141" t="s">
        <v>284</v>
      </c>
      <c r="B207" s="700">
        <v>100</v>
      </c>
      <c r="C207" s="700" t="s">
        <v>736</v>
      </c>
      <c r="F207" s="716" t="s">
        <v>969</v>
      </c>
      <c r="G207" s="702" t="s">
        <v>883</v>
      </c>
    </row>
    <row r="208" spans="1:7" ht="15" hidden="1" thickBot="1" x14ac:dyDescent="0.4">
      <c r="A208" s="143" t="s">
        <v>104</v>
      </c>
      <c r="B208" s="706">
        <v>100</v>
      </c>
      <c r="C208" s="730" t="s">
        <v>736</v>
      </c>
      <c r="D208" s="145"/>
      <c r="E208" s="145"/>
      <c r="F208" s="755" t="s">
        <v>932</v>
      </c>
      <c r="G208" s="718" t="s">
        <v>883</v>
      </c>
    </row>
    <row r="209" spans="1:7" ht="15" hidden="1" thickBot="1" x14ac:dyDescent="0.4"/>
    <row r="210" spans="1:7" hidden="1" x14ac:dyDescent="0.35">
      <c r="A210" s="709" t="s">
        <v>756</v>
      </c>
      <c r="B210" s="710" t="s">
        <v>296</v>
      </c>
      <c r="C210" s="710"/>
      <c r="D210" s="695"/>
      <c r="E210" s="695"/>
      <c r="F210" s="697" t="s">
        <v>891</v>
      </c>
      <c r="G210" s="698" t="s">
        <v>751</v>
      </c>
    </row>
    <row r="211" spans="1:7" hidden="1" x14ac:dyDescent="0.35">
      <c r="A211" s="141" t="s">
        <v>142</v>
      </c>
      <c r="B211" t="s">
        <v>739</v>
      </c>
      <c r="C211" t="s">
        <v>459</v>
      </c>
      <c r="D211" t="s">
        <v>768</v>
      </c>
      <c r="G211" s="142"/>
    </row>
    <row r="212" spans="1:7" hidden="1" x14ac:dyDescent="0.35">
      <c r="A212" s="735" t="s">
        <v>103</v>
      </c>
      <c r="B212">
        <v>0</v>
      </c>
      <c r="C212" s="756" t="s">
        <v>737</v>
      </c>
      <c r="G212" s="142"/>
    </row>
    <row r="213" spans="1:7" hidden="1" x14ac:dyDescent="0.35">
      <c r="A213" s="141" t="s">
        <v>297</v>
      </c>
      <c r="B213" s="719">
        <v>12912.250000000002</v>
      </c>
      <c r="C213" s="757" t="s">
        <v>737</v>
      </c>
      <c r="D213">
        <v>100</v>
      </c>
      <c r="F213" s="700" t="s">
        <v>902</v>
      </c>
      <c r="G213" s="702" t="s">
        <v>883</v>
      </c>
    </row>
    <row r="214" spans="1:7" hidden="1" x14ac:dyDescent="0.35">
      <c r="A214" s="141" t="s">
        <v>298</v>
      </c>
      <c r="B214" s="719">
        <v>8355.085714285713</v>
      </c>
      <c r="C214" s="753" t="s">
        <v>737</v>
      </c>
      <c r="F214" s="700" t="s">
        <v>903</v>
      </c>
      <c r="G214" s="702" t="s">
        <v>883</v>
      </c>
    </row>
    <row r="215" spans="1:7" hidden="1" x14ac:dyDescent="0.35">
      <c r="A215" s="141" t="s">
        <v>107</v>
      </c>
      <c r="B215" s="719">
        <v>9007.9999999999982</v>
      </c>
      <c r="C215" s="757" t="s">
        <v>737</v>
      </c>
      <c r="F215" s="700" t="s">
        <v>904</v>
      </c>
      <c r="G215" s="702" t="s">
        <v>883</v>
      </c>
    </row>
    <row r="216" spans="1:7" hidden="1" x14ac:dyDescent="0.35">
      <c r="A216" s="141" t="s">
        <v>299</v>
      </c>
      <c r="B216" s="719">
        <v>13735</v>
      </c>
      <c r="C216" s="753" t="s">
        <v>737</v>
      </c>
      <c r="D216">
        <v>100</v>
      </c>
      <c r="F216" s="717" t="s">
        <v>853</v>
      </c>
      <c r="G216" s="702" t="s">
        <v>905</v>
      </c>
    </row>
    <row r="217" spans="1:7" hidden="1" x14ac:dyDescent="0.35">
      <c r="A217" s="141" t="s">
        <v>271</v>
      </c>
      <c r="B217" s="719">
        <v>12286.574074074075</v>
      </c>
      <c r="C217" s="757" t="s">
        <v>737</v>
      </c>
      <c r="D217">
        <v>108</v>
      </c>
      <c r="F217" s="716" t="s">
        <v>906</v>
      </c>
      <c r="G217" s="702" t="s">
        <v>883</v>
      </c>
    </row>
    <row r="218" spans="1:7" hidden="1" x14ac:dyDescent="0.35">
      <c r="A218" s="141" t="s">
        <v>300</v>
      </c>
      <c r="B218" s="719">
        <v>6613</v>
      </c>
      <c r="C218" s="753" t="s">
        <v>737</v>
      </c>
      <c r="D218">
        <v>100</v>
      </c>
      <c r="F218" s="700" t="s">
        <v>907</v>
      </c>
      <c r="G218" s="702" t="s">
        <v>883</v>
      </c>
    </row>
    <row r="219" spans="1:7" hidden="1" x14ac:dyDescent="0.35">
      <c r="A219" s="141" t="s">
        <v>272</v>
      </c>
      <c r="B219" s="719">
        <v>22609.280555555553</v>
      </c>
      <c r="C219" s="758" t="s">
        <v>737</v>
      </c>
      <c r="D219">
        <v>108</v>
      </c>
      <c r="F219" s="717" t="s">
        <v>853</v>
      </c>
      <c r="G219" s="702" t="s">
        <v>910</v>
      </c>
    </row>
    <row r="220" spans="1:7" hidden="1" x14ac:dyDescent="0.35">
      <c r="A220" s="141" t="s">
        <v>354</v>
      </c>
      <c r="B220" s="719">
        <v>12286.574074074075</v>
      </c>
      <c r="C220" s="700" t="s">
        <v>737</v>
      </c>
      <c r="D220">
        <v>115</v>
      </c>
      <c r="F220" s="716" t="s">
        <v>906</v>
      </c>
      <c r="G220" s="702"/>
    </row>
    <row r="221" spans="1:7" hidden="1" x14ac:dyDescent="0.35">
      <c r="A221" s="141" t="str">
        <f>'LCA data'!$W$62</f>
        <v>Brugerdefineret_1</v>
      </c>
      <c r="B221" s="719"/>
      <c r="C221" s="759"/>
      <c r="D221">
        <f>VLOOKUP($B$210&amp;"_"&amp;A221,'LCA data'!$B$7:$X$360,11,FALSE)</f>
        <v>1</v>
      </c>
      <c r="F221" s="717"/>
      <c r="G221" s="702"/>
    </row>
    <row r="222" spans="1:7" hidden="1" x14ac:dyDescent="0.35">
      <c r="A222" s="141" t="str">
        <f>'LCA data'!$W$63</f>
        <v>Brugerdefineret_2</v>
      </c>
      <c r="B222" s="719"/>
      <c r="C222" s="757"/>
      <c r="D222">
        <f>VLOOKUP($B$210&amp;"_"&amp;A222,'LCA data'!$B$7:$X$360,11,FALSE)</f>
        <v>1</v>
      </c>
      <c r="F222" s="717"/>
      <c r="G222" s="702"/>
    </row>
    <row r="223" spans="1:7" ht="15" hidden="1" thickBot="1" x14ac:dyDescent="0.4">
      <c r="A223" s="143" t="str">
        <f>'LCA data'!$W$64</f>
        <v>Brugerdefineret_3</v>
      </c>
      <c r="B223" s="729"/>
      <c r="C223" s="760"/>
      <c r="D223" s="145">
        <f>VLOOKUP($B$210&amp;"_"&amp;A223,'LCA data'!$B$7:$X$360,11,FALSE)</f>
        <v>1</v>
      </c>
      <c r="E223" s="145"/>
      <c r="F223" s="755" t="s">
        <v>906</v>
      </c>
      <c r="G223" s="718" t="s">
        <v>883</v>
      </c>
    </row>
    <row r="224" spans="1:7" hidden="1" x14ac:dyDescent="0.35">
      <c r="G224" s="761"/>
    </row>
    <row r="225" spans="1:7" ht="15" hidden="1" thickBot="1" x14ac:dyDescent="0.4"/>
    <row r="226" spans="1:7" hidden="1" x14ac:dyDescent="0.35">
      <c r="A226" s="139" t="s">
        <v>799</v>
      </c>
      <c r="B226" s="695" t="s">
        <v>358</v>
      </c>
      <c r="C226" s="695"/>
      <c r="D226" s="695"/>
      <c r="E226" s="696"/>
      <c r="F226" s="697" t="s">
        <v>891</v>
      </c>
      <c r="G226" s="698" t="s">
        <v>751</v>
      </c>
    </row>
    <row r="227" spans="1:7" hidden="1" x14ac:dyDescent="0.35">
      <c r="A227" s="711" t="s">
        <v>142</v>
      </c>
      <c r="B227" s="712" t="s">
        <v>739</v>
      </c>
      <c r="C227" s="712" t="s">
        <v>459</v>
      </c>
      <c r="D227" s="712" t="s">
        <v>768</v>
      </c>
      <c r="G227" s="142"/>
    </row>
    <row r="228" spans="1:7" hidden="1" x14ac:dyDescent="0.35">
      <c r="A228" s="735" t="s">
        <v>103</v>
      </c>
      <c r="B228" s="9">
        <v>0</v>
      </c>
      <c r="C228" s="756" t="s">
        <v>737</v>
      </c>
      <c r="D228" s="736"/>
      <c r="G228" s="142"/>
    </row>
    <row r="229" spans="1:7" hidden="1" x14ac:dyDescent="0.35">
      <c r="A229" s="735" t="s">
        <v>300</v>
      </c>
      <c r="B229" s="762">
        <v>6613</v>
      </c>
      <c r="C229" s="753" t="s">
        <v>737</v>
      </c>
      <c r="D229" s="736">
        <v>100</v>
      </c>
      <c r="F229" s="700" t="s">
        <v>907</v>
      </c>
      <c r="G229" s="702" t="s">
        <v>883</v>
      </c>
    </row>
    <row r="230" spans="1:7" hidden="1" x14ac:dyDescent="0.35">
      <c r="A230" s="735" t="s">
        <v>354</v>
      </c>
      <c r="B230" s="763">
        <v>12286.5740740741</v>
      </c>
      <c r="C230" s="757" t="s">
        <v>737</v>
      </c>
      <c r="D230" s="764">
        <v>115</v>
      </c>
      <c r="F230" s="716" t="s">
        <v>906</v>
      </c>
      <c r="G230" s="702" t="s">
        <v>883</v>
      </c>
    </row>
    <row r="231" spans="1:7" hidden="1" x14ac:dyDescent="0.35">
      <c r="A231" s="765" t="s">
        <v>309</v>
      </c>
      <c r="B231" s="763">
        <v>12286.5740740741</v>
      </c>
      <c r="C231" s="757" t="s">
        <v>737</v>
      </c>
      <c r="D231" s="764">
        <v>108</v>
      </c>
      <c r="F231" s="716" t="s">
        <v>906</v>
      </c>
      <c r="G231" s="702" t="s">
        <v>883</v>
      </c>
    </row>
    <row r="232" spans="1:7" hidden="1" x14ac:dyDescent="0.35">
      <c r="A232" s="735" t="s">
        <v>355</v>
      </c>
      <c r="B232" s="763">
        <v>22609.280555555553</v>
      </c>
      <c r="C232" s="757" t="s">
        <v>737</v>
      </c>
      <c r="D232" s="764">
        <v>108</v>
      </c>
      <c r="F232" s="717" t="s">
        <v>853</v>
      </c>
      <c r="G232" s="702" t="s">
        <v>910</v>
      </c>
    </row>
    <row r="233" spans="1:7" hidden="1" x14ac:dyDescent="0.35">
      <c r="A233" s="765" t="s">
        <v>356</v>
      </c>
      <c r="B233" s="763">
        <v>208355</v>
      </c>
      <c r="C233" s="757" t="s">
        <v>737</v>
      </c>
      <c r="D233" s="764">
        <v>12</v>
      </c>
      <c r="F233" s="700" t="s">
        <v>908</v>
      </c>
      <c r="G233" s="702" t="s">
        <v>883</v>
      </c>
    </row>
    <row r="234" spans="1:7" hidden="1" x14ac:dyDescent="0.35">
      <c r="A234" s="735" t="s">
        <v>299</v>
      </c>
      <c r="B234" s="762">
        <v>13735</v>
      </c>
      <c r="C234" s="753" t="s">
        <v>737</v>
      </c>
      <c r="D234" s="736">
        <v>100</v>
      </c>
      <c r="F234" s="717" t="s">
        <v>853</v>
      </c>
      <c r="G234" s="702" t="s">
        <v>905</v>
      </c>
    </row>
    <row r="235" spans="1:7" hidden="1" x14ac:dyDescent="0.35">
      <c r="A235" s="735" t="s">
        <v>298</v>
      </c>
      <c r="B235" s="762">
        <v>8355.0857142857094</v>
      </c>
      <c r="C235" s="753" t="s">
        <v>737</v>
      </c>
      <c r="D235" s="736"/>
      <c r="F235" s="700" t="s">
        <v>903</v>
      </c>
      <c r="G235" s="702" t="s">
        <v>883</v>
      </c>
    </row>
    <row r="236" spans="1:7" hidden="1" x14ac:dyDescent="0.35">
      <c r="A236" s="766" t="s">
        <v>107</v>
      </c>
      <c r="B236" s="767">
        <v>9008</v>
      </c>
      <c r="C236" s="758" t="s">
        <v>737</v>
      </c>
      <c r="D236" s="768"/>
      <c r="F236" s="700" t="s">
        <v>904</v>
      </c>
      <c r="G236" s="702" t="s">
        <v>883</v>
      </c>
    </row>
    <row r="237" spans="1:7" hidden="1" x14ac:dyDescent="0.35">
      <c r="A237" s="769" t="s">
        <v>297</v>
      </c>
      <c r="B237" s="719">
        <v>8362.2999999999993</v>
      </c>
      <c r="C237" s="700" t="s">
        <v>737</v>
      </c>
      <c r="D237">
        <v>100</v>
      </c>
      <c r="F237" s="700" t="s">
        <v>909</v>
      </c>
      <c r="G237" s="702" t="s">
        <v>883</v>
      </c>
    </row>
    <row r="238" spans="1:7" hidden="1" x14ac:dyDescent="0.35">
      <c r="A238" s="141" t="str">
        <f>'LCA data'!$W$211</f>
        <v>Genbrugs konstruktion</v>
      </c>
      <c r="B238" s="763"/>
      <c r="C238" s="757"/>
      <c r="D238">
        <f>VLOOKUP($B$226&amp;"_"&amp;A238,'LCA data'!$B$7:$X$360,11,FALSE)</f>
        <v>1</v>
      </c>
      <c r="F238" s="700"/>
      <c r="G238" s="702"/>
    </row>
    <row r="239" spans="1:7" hidden="1" x14ac:dyDescent="0.35">
      <c r="A239" s="141" t="str">
        <f>'LCA data'!$W$212</f>
        <v>Brugerdefineret_1</v>
      </c>
      <c r="B239" s="770"/>
      <c r="C239" s="759"/>
      <c r="D239">
        <f>VLOOKUP($B$226&amp;"_"&amp;A239,'LCA data'!$B$7:$X$360,11,FALSE)</f>
        <v>1</v>
      </c>
      <c r="F239" s="700"/>
      <c r="G239" s="702"/>
    </row>
    <row r="240" spans="1:7" hidden="1" x14ac:dyDescent="0.35">
      <c r="A240" s="141" t="str">
        <f>'LCA data'!$W$213</f>
        <v>Brugerdefineret_2</v>
      </c>
      <c r="B240" s="763"/>
      <c r="C240" s="757"/>
      <c r="D240">
        <f>VLOOKUP($B$226&amp;"_"&amp;A240,'LCA data'!$B$7:$X$360,11,FALSE)</f>
        <v>1</v>
      </c>
      <c r="F240" s="700"/>
      <c r="G240" s="702"/>
    </row>
    <row r="241" spans="1:7" ht="15" hidden="1" thickBot="1" x14ac:dyDescent="0.4">
      <c r="A241" s="141" t="str">
        <f>'LCA data'!$W$214</f>
        <v>Brugerdefineret_3</v>
      </c>
      <c r="B241" s="729"/>
      <c r="C241" s="760"/>
      <c r="D241">
        <f>VLOOKUP($B$226&amp;"_"&amp;A241,'LCA data'!$B$7:$X$360,11,FALSE)</f>
        <v>1</v>
      </c>
      <c r="F241" s="700" t="s">
        <v>909</v>
      </c>
      <c r="G241" s="702" t="s">
        <v>883</v>
      </c>
    </row>
    <row r="242" spans="1:7" ht="15" hidden="1" thickBot="1" x14ac:dyDescent="0.4">
      <c r="A242" s="143"/>
      <c r="B242" s="145"/>
      <c r="C242" s="145"/>
      <c r="D242" s="145"/>
      <c r="E242" s="145"/>
      <c r="F242" s="145"/>
      <c r="G242" s="144"/>
    </row>
    <row r="243" spans="1:7" ht="15" hidden="1" thickBot="1" x14ac:dyDescent="0.4"/>
    <row r="244" spans="1:7" hidden="1" x14ac:dyDescent="0.35">
      <c r="A244" s="709" t="s">
        <v>754</v>
      </c>
      <c r="B244" s="710" t="str">
        <f>'LCA data'!$B$77</f>
        <v>Tagbelægning</v>
      </c>
      <c r="C244" s="710"/>
      <c r="D244" s="695"/>
      <c r="E244" s="696"/>
      <c r="F244" s="695"/>
      <c r="G244" s="140"/>
    </row>
    <row r="245" spans="1:7" hidden="1" x14ac:dyDescent="0.35">
      <c r="A245" s="141" t="s">
        <v>142</v>
      </c>
      <c r="B245" t="s">
        <v>739</v>
      </c>
      <c r="C245" t="s">
        <v>459</v>
      </c>
      <c r="D245" t="s">
        <v>768</v>
      </c>
      <c r="F245" s="699" t="s">
        <v>891</v>
      </c>
      <c r="G245" s="714" t="s">
        <v>751</v>
      </c>
    </row>
    <row r="246" spans="1:7" hidden="1" x14ac:dyDescent="0.35">
      <c r="A246" s="735" t="s">
        <v>103</v>
      </c>
      <c r="B246">
        <v>0</v>
      </c>
      <c r="C246" s="756" t="s">
        <v>736</v>
      </c>
      <c r="D246">
        <v>0</v>
      </c>
      <c r="G246" s="142"/>
    </row>
    <row r="247" spans="1:7" hidden="1" x14ac:dyDescent="0.35">
      <c r="A247" s="141" t="s">
        <v>115</v>
      </c>
      <c r="B247" s="771">
        <v>481.64</v>
      </c>
      <c r="C247" s="757" t="s">
        <v>736</v>
      </c>
      <c r="D247">
        <f>VLOOKUP($B$244&amp;"_"&amp;A247,'LCA data'!$B$7:$X$360,11,FALSE)</f>
        <v>8</v>
      </c>
      <c r="F247" s="748" t="s">
        <v>942</v>
      </c>
      <c r="G247" s="702" t="s">
        <v>935</v>
      </c>
    </row>
    <row r="248" spans="1:7" hidden="1" x14ac:dyDescent="0.35">
      <c r="A248" s="141" t="s">
        <v>309</v>
      </c>
      <c r="B248" s="772">
        <v>1037.45</v>
      </c>
      <c r="C248" s="753" t="s">
        <v>736</v>
      </c>
      <c r="D248">
        <f>VLOOKUP($B$244&amp;"_"&amp;A248,'LCA data'!$B$7:$X$360,11,FALSE)</f>
        <v>30</v>
      </c>
      <c r="F248" s="748" t="s">
        <v>943</v>
      </c>
      <c r="G248" s="702" t="s">
        <v>939</v>
      </c>
    </row>
    <row r="249" spans="1:7" hidden="1" x14ac:dyDescent="0.35">
      <c r="A249" s="141" t="s">
        <v>273</v>
      </c>
      <c r="B249" s="773">
        <v>1207.8900000000001</v>
      </c>
      <c r="C249" s="757" t="s">
        <v>736</v>
      </c>
      <c r="D249">
        <f>VLOOKUP($B$244&amp;"_"&amp;A249,'LCA data'!$B$7:$X$360,11,FALSE)</f>
        <v>10</v>
      </c>
      <c r="F249" s="774" t="s">
        <v>944</v>
      </c>
      <c r="G249" s="702" t="s">
        <v>941</v>
      </c>
    </row>
    <row r="250" spans="1:7" hidden="1" x14ac:dyDescent="0.35">
      <c r="A250" s="141" t="s">
        <v>310</v>
      </c>
      <c r="B250" s="775">
        <v>1741.86</v>
      </c>
      <c r="C250" s="753" t="s">
        <v>736</v>
      </c>
      <c r="D250">
        <f>VLOOKUP($B$244&amp;"_"&amp;A250,'LCA data'!$B$7:$X$360,11,FALSE)</f>
        <v>0.5</v>
      </c>
      <c r="F250" s="716" t="s">
        <v>945</v>
      </c>
      <c r="G250" s="702" t="s">
        <v>946</v>
      </c>
    </row>
    <row r="251" spans="1:7" hidden="1" x14ac:dyDescent="0.35">
      <c r="A251" s="141" t="s">
        <v>277</v>
      </c>
      <c r="B251" s="776">
        <v>1524</v>
      </c>
      <c r="C251" s="757" t="s">
        <v>736</v>
      </c>
      <c r="D251">
        <f>VLOOKUP($B$244&amp;"_"&amp;A251,'LCA data'!$B$7:$X$360,11,FALSE)</f>
        <v>11</v>
      </c>
      <c r="F251" s="716" t="s">
        <v>885</v>
      </c>
      <c r="G251" s="702" t="s">
        <v>947</v>
      </c>
    </row>
    <row r="252" spans="1:7" hidden="1" x14ac:dyDescent="0.35">
      <c r="A252" s="141" t="s">
        <v>311</v>
      </c>
      <c r="B252" s="719">
        <v>2204.16</v>
      </c>
      <c r="C252" s="753" t="s">
        <v>736</v>
      </c>
      <c r="D252">
        <f>VLOOKUP($B$244&amp;"_"&amp;A252,'LCA data'!$B$7:$X$360,11,FALSE)</f>
        <v>76</v>
      </c>
      <c r="F252" s="700" t="s">
        <v>948</v>
      </c>
      <c r="G252" s="702" t="s">
        <v>949</v>
      </c>
    </row>
    <row r="253" spans="1:7" hidden="1" x14ac:dyDescent="0.35">
      <c r="A253" s="141" t="s">
        <v>312</v>
      </c>
      <c r="B253" s="700">
        <v>1236</v>
      </c>
      <c r="C253" s="757" t="s">
        <v>736</v>
      </c>
      <c r="D253">
        <f>VLOOKUP($B$244&amp;"_"&amp;A253,'LCA data'!$B$7:$X$360,11,FALSE)</f>
        <v>370</v>
      </c>
      <c r="F253" s="700" t="s">
        <v>950</v>
      </c>
      <c r="G253" s="702" t="s">
        <v>951</v>
      </c>
    </row>
    <row r="254" spans="1:7" hidden="1" x14ac:dyDescent="0.35">
      <c r="A254" s="141" t="s">
        <v>313</v>
      </c>
      <c r="B254" s="700">
        <v>1314</v>
      </c>
      <c r="C254" s="753" t="s">
        <v>736</v>
      </c>
      <c r="D254">
        <f>VLOOKUP($B$244&amp;"_"&amp;A254,'LCA data'!$B$7:$X$360,11,FALSE)</f>
        <v>1.1000000000000001</v>
      </c>
      <c r="F254" s="700" t="s">
        <v>952</v>
      </c>
      <c r="G254" s="702" t="s">
        <v>953</v>
      </c>
    </row>
    <row r="255" spans="1:7" hidden="1" x14ac:dyDescent="0.35">
      <c r="A255" s="141" t="s">
        <v>882</v>
      </c>
      <c r="B255" s="715">
        <v>757</v>
      </c>
      <c r="C255" s="758" t="s">
        <v>736</v>
      </c>
      <c r="D255">
        <f>VLOOKUP($B$244&amp;"_"&amp;A255,'LCA data'!$B$7:$X$360,11,FALSE)</f>
        <v>30</v>
      </c>
      <c r="F255" s="700" t="s">
        <v>884</v>
      </c>
      <c r="G255" s="702" t="s">
        <v>954</v>
      </c>
    </row>
    <row r="256" spans="1:7" hidden="1" x14ac:dyDescent="0.35">
      <c r="A256" s="141" t="s">
        <v>274</v>
      </c>
      <c r="B256" s="777">
        <v>1500.48</v>
      </c>
      <c r="C256" s="746" t="s">
        <v>736</v>
      </c>
      <c r="D256">
        <f>VLOOKUP($B$244&amp;"_"&amp;A256,'LCA data'!$B$7:$X$360,11,FALSE)</f>
        <v>0.5</v>
      </c>
      <c r="F256" s="700" t="s">
        <v>955</v>
      </c>
      <c r="G256" s="702" t="s">
        <v>956</v>
      </c>
    </row>
    <row r="257" spans="1:7" hidden="1" x14ac:dyDescent="0.35">
      <c r="A257" s="141" t="str">
        <f>'LCA data'!$W$89</f>
        <v>Genbrugs tagbelægning</v>
      </c>
      <c r="B257" s="778"/>
      <c r="C257" s="753"/>
      <c r="D257">
        <f>VLOOKUP($B$244&amp;"_"&amp;A257,'LCA data'!$B$7:$X$360,11,FALSE)</f>
        <v>1</v>
      </c>
      <c r="F257" s="700"/>
      <c r="G257" s="702"/>
    </row>
    <row r="258" spans="1:7" hidden="1" x14ac:dyDescent="0.35">
      <c r="A258" s="141" t="str">
        <f>'LCA data'!$W$90</f>
        <v>Brugerdefineret_1</v>
      </c>
      <c r="B258" s="715"/>
      <c r="C258" s="779"/>
      <c r="D258">
        <f>VLOOKUP($B$244&amp;"_"&amp;A258,'LCA data'!$B$7:$X$360,11,FALSE)</f>
        <v>1</v>
      </c>
      <c r="F258" s="700"/>
      <c r="G258" s="702"/>
    </row>
    <row r="259" spans="1:7" hidden="1" x14ac:dyDescent="0.35">
      <c r="A259" s="141" t="str">
        <f>'LCA data'!$W$91</f>
        <v>Brugerdefineret_2</v>
      </c>
      <c r="B259" s="715"/>
      <c r="C259" s="753"/>
      <c r="D259">
        <f>VLOOKUP($B$244&amp;"_"&amp;A259,'LCA data'!$B$7:$X$360,11,FALSE)</f>
        <v>1</v>
      </c>
      <c r="F259" s="700"/>
      <c r="G259" s="702"/>
    </row>
    <row r="260" spans="1:7" ht="15" hidden="1" thickBot="1" x14ac:dyDescent="0.4">
      <c r="A260" s="143" t="str">
        <f>'LCA data'!$W$92</f>
        <v>Brugerdefineret_3</v>
      </c>
      <c r="B260" s="780"/>
      <c r="C260" s="730"/>
      <c r="D260" s="145">
        <f>VLOOKUP($B$244&amp;"_"&amp;A260,'LCA data'!$B$7:$X$360,11,FALSE)</f>
        <v>1</v>
      </c>
      <c r="E260" s="145"/>
      <c r="F260" s="706" t="s">
        <v>955</v>
      </c>
      <c r="G260" s="718" t="s">
        <v>956</v>
      </c>
    </row>
    <row r="261" spans="1:7" hidden="1" x14ac:dyDescent="0.35">
      <c r="C261" s="741"/>
    </row>
    <row r="262" spans="1:7" hidden="1" x14ac:dyDescent="0.35">
      <c r="C262" s="741"/>
    </row>
    <row r="263" spans="1:7" hidden="1" x14ac:dyDescent="0.35"/>
    <row r="264" spans="1:7" ht="15" hidden="1" thickBot="1" x14ac:dyDescent="0.4"/>
    <row r="265" spans="1:7" hidden="1" x14ac:dyDescent="0.35">
      <c r="A265" s="709" t="s">
        <v>757</v>
      </c>
      <c r="B265" s="710" t="s">
        <v>314</v>
      </c>
      <c r="C265" s="710"/>
      <c r="D265" s="695"/>
      <c r="E265" s="696"/>
      <c r="F265" s="695"/>
      <c r="G265" s="140"/>
    </row>
    <row r="266" spans="1:7" hidden="1" x14ac:dyDescent="0.35">
      <c r="A266" s="141" t="s">
        <v>142</v>
      </c>
      <c r="B266" t="s">
        <v>739</v>
      </c>
      <c r="C266" t="s">
        <v>459</v>
      </c>
      <c r="D266" t="s">
        <v>768</v>
      </c>
      <c r="F266" s="699" t="s">
        <v>891</v>
      </c>
      <c r="G266" s="714" t="s">
        <v>751</v>
      </c>
    </row>
    <row r="267" spans="1:7" hidden="1" x14ac:dyDescent="0.35">
      <c r="A267" s="769" t="s">
        <v>103</v>
      </c>
      <c r="B267">
        <v>0</v>
      </c>
      <c r="C267" s="741" t="s">
        <v>736</v>
      </c>
      <c r="G267" s="142"/>
    </row>
    <row r="268" spans="1:7" hidden="1" x14ac:dyDescent="0.35">
      <c r="A268" s="141" t="s">
        <v>316</v>
      </c>
      <c r="B268" s="719">
        <v>387.53</v>
      </c>
      <c r="C268" s="746" t="s">
        <v>736</v>
      </c>
      <c r="F268" s="700" t="s">
        <v>957</v>
      </c>
      <c r="G268" s="702" t="s">
        <v>883</v>
      </c>
    </row>
    <row r="269" spans="1:7" hidden="1" x14ac:dyDescent="0.35">
      <c r="A269" s="141" t="s">
        <v>318</v>
      </c>
      <c r="B269" s="719">
        <v>256.99</v>
      </c>
      <c r="C269" s="746" t="s">
        <v>736</v>
      </c>
      <c r="F269" s="716" t="s">
        <v>958</v>
      </c>
      <c r="G269" s="702" t="s">
        <v>883</v>
      </c>
    </row>
    <row r="270" spans="1:7" hidden="1" x14ac:dyDescent="0.35">
      <c r="A270" s="141" t="s">
        <v>319</v>
      </c>
      <c r="B270" s="719">
        <v>852.05</v>
      </c>
      <c r="C270" s="746" t="s">
        <v>736</v>
      </c>
      <c r="F270" s="700" t="s">
        <v>886</v>
      </c>
      <c r="G270" s="702" t="s">
        <v>883</v>
      </c>
    </row>
    <row r="271" spans="1:7" hidden="1" x14ac:dyDescent="0.35">
      <c r="A271" s="141" t="s">
        <v>320</v>
      </c>
      <c r="B271" s="719">
        <v>1024.52</v>
      </c>
      <c r="C271" s="746" t="s">
        <v>736</v>
      </c>
      <c r="D271">
        <v>180</v>
      </c>
      <c r="F271" s="700" t="s">
        <v>959</v>
      </c>
      <c r="G271" s="702" t="s">
        <v>883</v>
      </c>
    </row>
    <row r="272" spans="1:7" hidden="1" x14ac:dyDescent="0.35">
      <c r="A272" s="141" t="s">
        <v>299</v>
      </c>
      <c r="B272" s="719">
        <f>B234*0.245</f>
        <v>3365.0749999999998</v>
      </c>
      <c r="C272" s="746" t="s">
        <v>736</v>
      </c>
      <c r="D272">
        <v>245</v>
      </c>
      <c r="F272" s="701" t="s">
        <v>887</v>
      </c>
      <c r="G272" s="702" t="s">
        <v>960</v>
      </c>
    </row>
    <row r="273" spans="1:7" hidden="1" x14ac:dyDescent="0.35">
      <c r="A273" s="141" t="s">
        <v>860</v>
      </c>
      <c r="B273" s="719">
        <v>805.49</v>
      </c>
      <c r="C273" s="746" t="s">
        <v>736</v>
      </c>
      <c r="D273">
        <v>300</v>
      </c>
      <c r="F273" s="700" t="s">
        <v>888</v>
      </c>
      <c r="G273" s="702" t="s">
        <v>883</v>
      </c>
    </row>
    <row r="274" spans="1:7" hidden="1" x14ac:dyDescent="0.35">
      <c r="A274" s="141" t="str">
        <f>'LCA data'!$W$101</f>
        <v>Genbrugs konstruktion</v>
      </c>
      <c r="B274" s="719"/>
      <c r="C274" s="746"/>
      <c r="D274">
        <f>VLOOKUP($B$265&amp;"_"&amp;A274,'LCA data'!$B$7:$X$360,11,FALSE)</f>
        <v>1</v>
      </c>
      <c r="F274" s="700"/>
      <c r="G274" s="702"/>
    </row>
    <row r="275" spans="1:7" hidden="1" x14ac:dyDescent="0.35">
      <c r="A275" s="141" t="str">
        <f>'LCA data'!$W$102</f>
        <v>Brugerdefineret_1</v>
      </c>
      <c r="B275" s="719"/>
      <c r="C275" s="746"/>
      <c r="D275">
        <f>VLOOKUP($B$265&amp;"_"&amp;A275,'LCA data'!$B$7:$X$360,11,FALSE)</f>
        <v>1</v>
      </c>
      <c r="F275" s="701"/>
      <c r="G275" s="702"/>
    </row>
    <row r="276" spans="1:7" hidden="1" x14ac:dyDescent="0.35">
      <c r="A276" s="141" t="str">
        <f>'LCA data'!$W$103</f>
        <v>Brugerdefineret_2</v>
      </c>
      <c r="B276" s="719"/>
      <c r="C276" s="746"/>
      <c r="D276">
        <f>VLOOKUP($B$265&amp;"_"&amp;A276,'LCA data'!$B$7:$X$360,11,FALSE)</f>
        <v>1</v>
      </c>
      <c r="F276" s="701"/>
      <c r="G276" s="702"/>
    </row>
    <row r="277" spans="1:7" ht="15" hidden="1" thickBot="1" x14ac:dyDescent="0.4">
      <c r="A277" s="143" t="str">
        <f>'LCA data'!$W$104</f>
        <v>Brugerdefineret_3</v>
      </c>
      <c r="B277" s="729"/>
      <c r="C277" s="781" t="s">
        <v>801</v>
      </c>
      <c r="D277" s="145">
        <f>VLOOKUP($B$265&amp;"_"&amp;A277,'LCA data'!$B$7:$X$360,11,FALSE)</f>
        <v>1</v>
      </c>
      <c r="E277" s="145"/>
      <c r="F277" s="706"/>
      <c r="G277" s="718"/>
    </row>
    <row r="278" spans="1:7" hidden="1" x14ac:dyDescent="0.35">
      <c r="C278" s="741"/>
    </row>
    <row r="279" spans="1:7" ht="15" hidden="1" thickBot="1" x14ac:dyDescent="0.4"/>
    <row r="280" spans="1:7" hidden="1" x14ac:dyDescent="0.35">
      <c r="A280" s="709" t="s">
        <v>758</v>
      </c>
      <c r="B280" s="710" t="str">
        <f>'LCA data'!$B$105</f>
        <v>Loftsbeklædning</v>
      </c>
      <c r="C280" s="710"/>
      <c r="D280" s="695"/>
      <c r="E280" s="696"/>
      <c r="F280" s="695"/>
      <c r="G280" s="140"/>
    </row>
    <row r="281" spans="1:7" hidden="1" x14ac:dyDescent="0.35">
      <c r="A281" s="141" t="s">
        <v>142</v>
      </c>
      <c r="B281" t="s">
        <v>739</v>
      </c>
      <c r="C281" t="s">
        <v>459</v>
      </c>
      <c r="D281" t="s">
        <v>767</v>
      </c>
      <c r="F281" s="699" t="s">
        <v>891</v>
      </c>
      <c r="G281" s="714" t="s">
        <v>751</v>
      </c>
    </row>
    <row r="282" spans="1:7" hidden="1" x14ac:dyDescent="0.35">
      <c r="A282" s="735" t="s">
        <v>103</v>
      </c>
      <c r="B282">
        <v>0</v>
      </c>
      <c r="C282" s="756" t="s">
        <v>736</v>
      </c>
      <c r="D282" s="687">
        <v>0</v>
      </c>
      <c r="G282" s="142"/>
    </row>
    <row r="283" spans="1:7" hidden="1" x14ac:dyDescent="0.35">
      <c r="A283" s="141" t="s">
        <v>322</v>
      </c>
      <c r="B283" s="716">
        <v>392.6</v>
      </c>
      <c r="C283" s="757" t="s">
        <v>736</v>
      </c>
      <c r="D283">
        <f>VLOOKUP($B$280&amp;"_"&amp;A283,'LCA data'!$B$7:$X$360,11,FALSE)</f>
        <v>25</v>
      </c>
      <c r="F283" s="716" t="s">
        <v>961</v>
      </c>
      <c r="G283" s="702" t="s">
        <v>883</v>
      </c>
    </row>
    <row r="284" spans="1:7" hidden="1" x14ac:dyDescent="0.35">
      <c r="A284" s="141" t="s">
        <v>323</v>
      </c>
      <c r="B284" s="782">
        <v>545.16999999999996</v>
      </c>
      <c r="C284" s="753" t="s">
        <v>736</v>
      </c>
      <c r="D284">
        <f>VLOOKUP($B$280&amp;"_"&amp;A284,'LCA data'!$B$7:$X$360,11,FALSE)</f>
        <v>15</v>
      </c>
      <c r="F284" s="700" t="s">
        <v>890</v>
      </c>
      <c r="G284" s="702" t="s">
        <v>883</v>
      </c>
    </row>
    <row r="285" spans="1:7" hidden="1" x14ac:dyDescent="0.35">
      <c r="A285" s="141" t="s">
        <v>324</v>
      </c>
      <c r="B285" s="716">
        <v>693.61</v>
      </c>
      <c r="C285" s="757" t="s">
        <v>736</v>
      </c>
      <c r="D285">
        <f>VLOOKUP($B$280&amp;"_"&amp;A285,'LCA data'!$B$7:$X$360,11,FALSE)</f>
        <v>15</v>
      </c>
      <c r="F285" s="716" t="s">
        <v>962</v>
      </c>
      <c r="G285" s="702" t="s">
        <v>883</v>
      </c>
    </row>
    <row r="286" spans="1:7" hidden="1" x14ac:dyDescent="0.35">
      <c r="A286" s="141" t="s">
        <v>861</v>
      </c>
      <c r="B286" s="782">
        <v>418.5</v>
      </c>
      <c r="C286" s="753" t="s">
        <v>736</v>
      </c>
      <c r="D286">
        <f>VLOOKUP($B$280&amp;"_"&amp;A286,'LCA data'!$B$7:$X$360,11,FALSE)</f>
        <v>15</v>
      </c>
      <c r="F286" s="700" t="s">
        <v>963</v>
      </c>
      <c r="G286" s="702" t="s">
        <v>883</v>
      </c>
    </row>
    <row r="287" spans="1:7" hidden="1" x14ac:dyDescent="0.35">
      <c r="A287" s="141" t="s">
        <v>326</v>
      </c>
      <c r="B287" s="716">
        <v>459.43599999999998</v>
      </c>
      <c r="C287" s="757" t="s">
        <v>736</v>
      </c>
      <c r="D287">
        <f>VLOOKUP($B$280&amp;"_"&amp;A287,'LCA data'!$B$7:$X$360,11,FALSE)</f>
        <v>26</v>
      </c>
      <c r="F287" s="700" t="s">
        <v>964</v>
      </c>
      <c r="G287" s="702" t="s">
        <v>883</v>
      </c>
    </row>
    <row r="288" spans="1:7" hidden="1" x14ac:dyDescent="0.35">
      <c r="A288" s="141" t="s">
        <v>327</v>
      </c>
      <c r="B288" s="716">
        <v>631.79999999999995</v>
      </c>
      <c r="C288" s="753" t="s">
        <v>736</v>
      </c>
      <c r="D288">
        <f>VLOOKUP($B$280&amp;"_"&amp;A288,'LCA data'!$B$7:$X$360,11,FALSE)</f>
        <v>26</v>
      </c>
      <c r="F288" s="700" t="s">
        <v>889</v>
      </c>
      <c r="G288" s="702" t="s">
        <v>883</v>
      </c>
    </row>
    <row r="289" spans="1:7" hidden="1" x14ac:dyDescent="0.35">
      <c r="A289" s="141" t="s">
        <v>328</v>
      </c>
      <c r="B289" s="716">
        <v>94.94</v>
      </c>
      <c r="C289" s="758" t="s">
        <v>736</v>
      </c>
      <c r="D289">
        <f>VLOOKUP($B$280&amp;"_"&amp;A289,'LCA data'!$B$7:$X$360,11,FALSE)</f>
        <v>3</v>
      </c>
      <c r="F289" s="716" t="s">
        <v>965</v>
      </c>
      <c r="G289" s="702" t="s">
        <v>883</v>
      </c>
    </row>
    <row r="290" spans="1:7" hidden="1" x14ac:dyDescent="0.35">
      <c r="A290" s="141" t="s">
        <v>304</v>
      </c>
      <c r="B290" s="783">
        <v>938.83</v>
      </c>
      <c r="C290" s="746" t="s">
        <v>736</v>
      </c>
      <c r="D290">
        <f>VLOOKUP($B$280&amp;"_"&amp;A290,'LCA data'!$B$7:$X$360,11,FALSE)</f>
        <v>30</v>
      </c>
      <c r="F290" s="752" t="s">
        <v>853</v>
      </c>
      <c r="G290" s="702" t="s">
        <v>883</v>
      </c>
    </row>
    <row r="291" spans="1:7" hidden="1" x14ac:dyDescent="0.35">
      <c r="A291" s="141" t="str">
        <f>'LCA data'!$W$115</f>
        <v>Genbrugs loftbeklædning</v>
      </c>
      <c r="B291" s="782"/>
      <c r="C291" s="782"/>
      <c r="D291">
        <f>VLOOKUP($B$280&amp;"_"&amp;A291,'LCA data'!$B$7:$X$360,11,FALSE)</f>
        <v>1</v>
      </c>
      <c r="F291" s="752"/>
      <c r="G291" s="702"/>
    </row>
    <row r="292" spans="1:7" hidden="1" x14ac:dyDescent="0.35">
      <c r="A292" s="141" t="str">
        <f>'LCA data'!$W$116</f>
        <v>Brugerdefineret_1</v>
      </c>
      <c r="B292" s="784"/>
      <c r="C292" s="784"/>
      <c r="D292">
        <f>VLOOKUP($B$280&amp;"_"&amp;A292,'LCA data'!$B$7:$X$360,11,FALSE)</f>
        <v>1</v>
      </c>
      <c r="F292" s="716"/>
      <c r="G292" s="702"/>
    </row>
    <row r="293" spans="1:7" hidden="1" x14ac:dyDescent="0.35">
      <c r="A293" s="141" t="str">
        <f>'LCA data'!$W$117</f>
        <v>Brugerdefineret_2</v>
      </c>
      <c r="B293" s="782"/>
      <c r="C293" s="782"/>
      <c r="D293">
        <f>VLOOKUP($B$280&amp;"_"&amp;A293,'LCA data'!$B$7:$X$360,11,FALSE)</f>
        <v>1</v>
      </c>
      <c r="F293" s="716"/>
      <c r="G293" s="702"/>
    </row>
    <row r="294" spans="1:7" ht="15" hidden="1" thickBot="1" x14ac:dyDescent="0.4">
      <c r="A294" s="143" t="str">
        <f>'LCA data'!$W$118</f>
        <v>Brugerdefineret_3</v>
      </c>
      <c r="B294" s="785"/>
      <c r="C294" s="730"/>
      <c r="D294" s="145">
        <f>VLOOKUP($B$280&amp;"_"&amp;A294,'LCA data'!$B$7:$X$360,11,FALSE)</f>
        <v>1</v>
      </c>
      <c r="E294" s="145"/>
      <c r="F294" s="731"/>
      <c r="G294" s="718"/>
    </row>
    <row r="295" spans="1:7" hidden="1" x14ac:dyDescent="0.35"/>
    <row r="296" spans="1:7" ht="15" hidden="1" thickBot="1" x14ac:dyDescent="0.4"/>
    <row r="297" spans="1:7" hidden="1" x14ac:dyDescent="0.35">
      <c r="A297" s="709" t="s">
        <v>759</v>
      </c>
      <c r="B297" s="710" t="str">
        <f>'LCA data'!$B$149</f>
        <v>Gulvoverflade</v>
      </c>
      <c r="C297" s="710"/>
      <c r="D297" s="695"/>
      <c r="E297" s="696"/>
      <c r="F297" s="695"/>
      <c r="G297" s="140"/>
    </row>
    <row r="298" spans="1:7" hidden="1" x14ac:dyDescent="0.35">
      <c r="A298" s="141" t="s">
        <v>142</v>
      </c>
      <c r="B298" t="s">
        <v>739</v>
      </c>
      <c r="C298" t="s">
        <v>459</v>
      </c>
      <c r="D298" t="s">
        <v>767</v>
      </c>
      <c r="F298" s="699" t="s">
        <v>891</v>
      </c>
      <c r="G298" s="714" t="s">
        <v>751</v>
      </c>
    </row>
    <row r="299" spans="1:7" hidden="1" x14ac:dyDescent="0.35">
      <c r="A299" s="735" t="s">
        <v>103</v>
      </c>
      <c r="B299" s="134">
        <v>0</v>
      </c>
      <c r="C299" s="756" t="s">
        <v>736</v>
      </c>
      <c r="D299">
        <v>0</v>
      </c>
      <c r="G299" s="142"/>
    </row>
    <row r="300" spans="1:7" hidden="1" x14ac:dyDescent="0.35">
      <c r="A300" s="141" t="s">
        <v>339</v>
      </c>
      <c r="B300" s="771">
        <v>424.62</v>
      </c>
      <c r="C300" s="757" t="s">
        <v>736</v>
      </c>
      <c r="D300">
        <f>VLOOKUP($B$297&amp;"_"&amp;A300,'LCA data'!$B$7:$X$360,11,FALSE)</f>
        <v>2.5</v>
      </c>
      <c r="F300" s="757" t="s">
        <v>911</v>
      </c>
      <c r="G300" s="786" t="s">
        <v>883</v>
      </c>
    </row>
    <row r="301" spans="1:7" hidden="1" x14ac:dyDescent="0.35">
      <c r="A301" s="141" t="s">
        <v>340</v>
      </c>
      <c r="B301" s="771">
        <v>1486.03</v>
      </c>
      <c r="C301" s="753" t="s">
        <v>736</v>
      </c>
      <c r="D301">
        <f>VLOOKUP($B$297&amp;"_"&amp;A301,'LCA data'!$B$7:$X$360,11,FALSE)</f>
        <v>10</v>
      </c>
      <c r="F301" s="753" t="s">
        <v>912</v>
      </c>
      <c r="G301" s="787" t="s">
        <v>883</v>
      </c>
    </row>
    <row r="302" spans="1:7" hidden="1" x14ac:dyDescent="0.35">
      <c r="A302" s="141" t="s">
        <v>341</v>
      </c>
      <c r="B302" s="771">
        <v>638.79</v>
      </c>
      <c r="C302" s="757" t="s">
        <v>736</v>
      </c>
      <c r="D302">
        <f>VLOOKUP($B$297&amp;"_"&amp;A302,'LCA data'!$B$7:$X$360,11,FALSE)</f>
        <v>22</v>
      </c>
      <c r="F302" s="757" t="s">
        <v>919</v>
      </c>
      <c r="G302" s="786" t="s">
        <v>883</v>
      </c>
    </row>
    <row r="303" spans="1:7" hidden="1" x14ac:dyDescent="0.35">
      <c r="A303" s="141" t="s">
        <v>342</v>
      </c>
      <c r="B303" s="771">
        <v>973.31999999999994</v>
      </c>
      <c r="C303" s="753" t="s">
        <v>736</v>
      </c>
      <c r="D303">
        <f>VLOOKUP($B$297&amp;"_"&amp;A303,'LCA data'!$B$7:$X$360,11,FALSE)</f>
        <v>22</v>
      </c>
      <c r="F303" s="753" t="s">
        <v>913</v>
      </c>
      <c r="G303" s="787" t="s">
        <v>883</v>
      </c>
    </row>
    <row r="304" spans="1:7" hidden="1" x14ac:dyDescent="0.35">
      <c r="A304" s="141" t="s">
        <v>343</v>
      </c>
      <c r="B304" s="771">
        <v>682.82</v>
      </c>
      <c r="C304" s="757" t="s">
        <v>736</v>
      </c>
      <c r="D304">
        <f>VLOOKUP($B$297&amp;"_"&amp;A304,'LCA data'!$B$7:$X$360,11,FALSE)</f>
        <v>50</v>
      </c>
      <c r="F304" s="757" t="s">
        <v>914</v>
      </c>
      <c r="G304" s="786" t="s">
        <v>883</v>
      </c>
    </row>
    <row r="305" spans="1:7" hidden="1" x14ac:dyDescent="0.35">
      <c r="A305" s="141" t="s">
        <v>344</v>
      </c>
      <c r="B305" s="771">
        <v>590.64</v>
      </c>
      <c r="C305" s="753" t="s">
        <v>736</v>
      </c>
      <c r="D305">
        <f>VLOOKUP($B$297&amp;"_"&amp;A305,'LCA data'!$B$7:$X$360,11,FALSE)</f>
        <v>2</v>
      </c>
      <c r="F305" s="753" t="s">
        <v>915</v>
      </c>
      <c r="G305" s="787" t="s">
        <v>883</v>
      </c>
    </row>
    <row r="306" spans="1:7" hidden="1" x14ac:dyDescent="0.35">
      <c r="A306" s="141" t="s">
        <v>345</v>
      </c>
      <c r="B306" s="771">
        <v>700.03</v>
      </c>
      <c r="C306" s="757" t="s">
        <v>736</v>
      </c>
      <c r="D306">
        <f>VLOOKUP($B$297&amp;"_"&amp;A306,'LCA data'!$B$7:$X$360,11,FALSE)</f>
        <v>8</v>
      </c>
      <c r="F306" s="757" t="s">
        <v>916</v>
      </c>
      <c r="G306" s="786" t="s">
        <v>883</v>
      </c>
    </row>
    <row r="307" spans="1:7" hidden="1" x14ac:dyDescent="0.35">
      <c r="A307" s="141" t="s">
        <v>877</v>
      </c>
      <c r="B307" s="771">
        <v>543.1</v>
      </c>
      <c r="C307" s="758" t="s">
        <v>736</v>
      </c>
      <c r="D307">
        <f>VLOOKUP($B$297&amp;"_"&amp;A307,'LCA data'!$B$7:$X$360,11,FALSE)</f>
        <v>2</v>
      </c>
      <c r="F307" s="788" t="s">
        <v>917</v>
      </c>
      <c r="G307" s="789" t="s">
        <v>883</v>
      </c>
    </row>
    <row r="308" spans="1:7" hidden="1" x14ac:dyDescent="0.35">
      <c r="A308" s="141" t="s">
        <v>878</v>
      </c>
      <c r="B308" s="771">
        <v>1861.1100000000001</v>
      </c>
      <c r="C308" s="746" t="s">
        <v>736</v>
      </c>
      <c r="D308">
        <f>VLOOKUP($B$297&amp;"_"&amp;A308,'LCA data'!$B$7:$X$360,11,FALSE)</f>
        <v>20</v>
      </c>
      <c r="F308" s="700" t="s">
        <v>918</v>
      </c>
      <c r="G308" s="704" t="s">
        <v>883</v>
      </c>
    </row>
    <row r="309" spans="1:7" hidden="1" x14ac:dyDescent="0.35">
      <c r="A309" s="141" t="s">
        <v>879</v>
      </c>
      <c r="B309" s="771">
        <v>1861.1100000000001</v>
      </c>
      <c r="C309" s="746" t="s">
        <v>736</v>
      </c>
      <c r="D309">
        <f>VLOOKUP($B$297&amp;"_"&amp;A309,'LCA data'!$B$7:$X$360,11,FALSE)</f>
        <v>10</v>
      </c>
      <c r="F309" s="746" t="s">
        <v>918</v>
      </c>
      <c r="G309" s="790" t="s">
        <v>883</v>
      </c>
    </row>
    <row r="310" spans="1:7" hidden="1" x14ac:dyDescent="0.35">
      <c r="A310" s="141" t="str">
        <f>'LCA data'!$W$161</f>
        <v>Genbrugs gulv på beton</v>
      </c>
      <c r="B310" s="763"/>
      <c r="C310" s="753"/>
      <c r="D310">
        <f>VLOOKUP($B$297&amp;"_"&amp;A310,'LCA data'!$B$7:$X$360,11,FALSE)</f>
        <v>1</v>
      </c>
      <c r="F310" s="746"/>
      <c r="G310" s="790"/>
    </row>
    <row r="311" spans="1:7" hidden="1" x14ac:dyDescent="0.35">
      <c r="A311" s="141" t="str">
        <f>'LCA data'!$W$162</f>
        <v xml:space="preserve">Genbrugs gulv på strøer </v>
      </c>
      <c r="B311" s="763"/>
      <c r="C311" s="753"/>
      <c r="D311">
        <f>VLOOKUP($B$297&amp;"_"&amp;A311,'LCA data'!$B$7:$X$360,11,FALSE)</f>
        <v>1</v>
      </c>
      <c r="F311" s="746"/>
      <c r="G311" s="790"/>
    </row>
    <row r="312" spans="1:7" hidden="1" x14ac:dyDescent="0.35">
      <c r="A312" s="141" t="str">
        <f>'LCA data'!$W$163</f>
        <v>Genbrugs belægning og undergulv</v>
      </c>
      <c r="B312" s="763"/>
      <c r="C312" s="753"/>
      <c r="D312">
        <f>VLOOKUP($B$297&amp;"_"&amp;A312,'LCA data'!$B$7:$X$360,11,FALSE)</f>
        <v>1</v>
      </c>
      <c r="F312" s="746"/>
      <c r="G312" s="790"/>
    </row>
    <row r="313" spans="1:7" hidden="1" x14ac:dyDescent="0.35">
      <c r="A313" s="141" t="str">
        <f>'LCA data'!$W$164</f>
        <v>Brugerdefineret_1</v>
      </c>
      <c r="B313" s="770"/>
      <c r="C313" s="779"/>
      <c r="D313">
        <f>VLOOKUP($B$297&amp;"_"&amp;A313,'LCA data'!$B$7:$X$360,11,FALSE)</f>
        <v>1</v>
      </c>
      <c r="F313" s="700"/>
      <c r="G313" s="704"/>
    </row>
    <row r="314" spans="1:7" hidden="1" x14ac:dyDescent="0.35">
      <c r="A314" s="141" t="str">
        <f>'LCA data'!$W$165</f>
        <v>Brugerdefineret_2</v>
      </c>
      <c r="B314" s="763"/>
      <c r="C314" s="753"/>
      <c r="D314">
        <f>VLOOKUP($B$297&amp;"_"&amp;A314,'LCA data'!$B$7:$X$360,11,FALSE)</f>
        <v>1</v>
      </c>
      <c r="F314" s="700"/>
      <c r="G314" s="704"/>
    </row>
    <row r="315" spans="1:7" ht="15" hidden="1" thickBot="1" x14ac:dyDescent="0.4">
      <c r="A315" s="143" t="str">
        <f>'LCA data'!$W$166</f>
        <v>Brugerdefineret_3</v>
      </c>
      <c r="B315" s="791"/>
      <c r="C315" s="754"/>
      <c r="D315" s="145">
        <f>VLOOKUP($B$297&amp;"_"&amp;A315,'LCA data'!$B$7:$X$360,11,FALSE)</f>
        <v>1</v>
      </c>
      <c r="E315" s="145"/>
      <c r="F315" s="754"/>
      <c r="G315" s="792"/>
    </row>
    <row r="316" spans="1:7" ht="15" hidden="1" thickBot="1" x14ac:dyDescent="0.4"/>
    <row r="317" spans="1:7" hidden="1" x14ac:dyDescent="0.35">
      <c r="A317" s="709" t="s">
        <v>769</v>
      </c>
      <c r="B317" s="710" t="s">
        <v>331</v>
      </c>
      <c r="C317" s="710"/>
      <c r="D317" s="695"/>
      <c r="E317" s="696"/>
      <c r="F317" s="697" t="s">
        <v>891</v>
      </c>
      <c r="G317" s="698" t="s">
        <v>751</v>
      </c>
    </row>
    <row r="318" spans="1:7" hidden="1" x14ac:dyDescent="0.35">
      <c r="A318" s="141" t="s">
        <v>142</v>
      </c>
      <c r="B318" t="s">
        <v>739</v>
      </c>
      <c r="C318" t="s">
        <v>459</v>
      </c>
      <c r="D318" t="s">
        <v>767</v>
      </c>
      <c r="G318" s="142"/>
    </row>
    <row r="319" spans="1:7" hidden="1" x14ac:dyDescent="0.35">
      <c r="A319" s="735" t="s">
        <v>103</v>
      </c>
      <c r="B319">
        <v>0</v>
      </c>
      <c r="C319" s="756" t="s">
        <v>737</v>
      </c>
      <c r="D319">
        <v>0</v>
      </c>
      <c r="G319" s="142"/>
    </row>
    <row r="320" spans="1:7" hidden="1" x14ac:dyDescent="0.35">
      <c r="A320" s="141" t="s">
        <v>862</v>
      </c>
      <c r="B320" s="763">
        <f>(1/0.15)*183.74</f>
        <v>1224.9333333333334</v>
      </c>
      <c r="C320" s="757" t="s">
        <v>737</v>
      </c>
      <c r="D320" s="793">
        <v>150</v>
      </c>
      <c r="F320" s="753" t="s">
        <v>920</v>
      </c>
      <c r="G320" s="787" t="s">
        <v>921</v>
      </c>
    </row>
    <row r="321" spans="1:8" hidden="1" x14ac:dyDescent="0.35">
      <c r="A321" s="141" t="s">
        <v>333</v>
      </c>
      <c r="B321" s="794">
        <f>(1/0.15)*116.87</f>
        <v>779.13333333333344</v>
      </c>
      <c r="C321" s="788" t="s">
        <v>737</v>
      </c>
      <c r="D321" s="795">
        <v>150</v>
      </c>
      <c r="E321" s="796"/>
      <c r="F321" s="758" t="s">
        <v>922</v>
      </c>
      <c r="G321" s="797" t="s">
        <v>921</v>
      </c>
    </row>
    <row r="322" spans="1:8" hidden="1" x14ac:dyDescent="0.35">
      <c r="A322" s="141" t="s">
        <v>334</v>
      </c>
      <c r="B322" s="719">
        <f>(1/0.15)*116.87</f>
        <v>779.13333333333344</v>
      </c>
      <c r="C322" s="700" t="s">
        <v>737</v>
      </c>
      <c r="D322">
        <v>150</v>
      </c>
      <c r="F322" s="746" t="s">
        <v>922</v>
      </c>
      <c r="G322" s="790" t="s">
        <v>921</v>
      </c>
    </row>
    <row r="323" spans="1:8" hidden="1" x14ac:dyDescent="0.35">
      <c r="A323" s="141" t="str">
        <f>'LCA data'!$W$134</f>
        <v>Genbrugs kapillarbrydende lag</v>
      </c>
      <c r="B323" s="719"/>
      <c r="C323" s="700"/>
      <c r="D323">
        <f>VLOOKUP($B$317&amp;"_"&amp;A323,'LCA data'!$B$7:$X$360,11,FALSE)</f>
        <v>1</v>
      </c>
      <c r="F323" s="746"/>
      <c r="G323" s="790"/>
    </row>
    <row r="324" spans="1:8" hidden="1" x14ac:dyDescent="0.35">
      <c r="A324" s="141" t="str">
        <f>'LCA data'!$W$135</f>
        <v>Brugerdefineret_1</v>
      </c>
      <c r="B324" s="798"/>
      <c r="C324" s="799"/>
      <c r="D324">
        <f>VLOOKUP($B$317&amp;"_"&amp;A324,'LCA data'!$B$7:$X$360,11,FALSE)</f>
        <v>1</v>
      </c>
      <c r="F324" s="800"/>
      <c r="G324" s="704"/>
    </row>
    <row r="325" spans="1:8" hidden="1" x14ac:dyDescent="0.35">
      <c r="A325" s="141" t="str">
        <f>'LCA data'!$W$136</f>
        <v>Brugerdefineret_2</v>
      </c>
      <c r="B325" s="794"/>
      <c r="C325" s="788"/>
      <c r="D325">
        <f>VLOOKUP($B$317&amp;"_"&amp;A325,'LCA data'!$B$7:$X$360,11,FALSE)</f>
        <v>1</v>
      </c>
      <c r="F325" s="758"/>
      <c r="G325" s="797"/>
    </row>
    <row r="326" spans="1:8" ht="15" hidden="1" thickBot="1" x14ac:dyDescent="0.4">
      <c r="A326" s="143" t="str">
        <f>'LCA data'!$W$137</f>
        <v>Brugerdefineret_3</v>
      </c>
      <c r="B326" s="801"/>
      <c r="C326" s="760"/>
      <c r="D326" s="145">
        <f>VLOOKUP($B$317&amp;"_"&amp;A326,'LCA data'!$B$7:$X$360,11,FALSE)</f>
        <v>1</v>
      </c>
      <c r="E326" s="145"/>
      <c r="F326" s="730"/>
      <c r="G326" s="802"/>
    </row>
    <row r="327" spans="1:8" ht="15" hidden="1" thickBot="1" x14ac:dyDescent="0.4"/>
    <row r="328" spans="1:8" hidden="1" x14ac:dyDescent="0.35">
      <c r="A328" s="139" t="s">
        <v>821</v>
      </c>
      <c r="B328" s="695"/>
      <c r="C328" s="695"/>
      <c r="D328" s="695"/>
      <c r="E328" s="696"/>
      <c r="F328" s="695"/>
      <c r="G328" s="140"/>
    </row>
    <row r="329" spans="1:8" hidden="1" x14ac:dyDescent="0.35">
      <c r="A329" s="711" t="s">
        <v>142</v>
      </c>
      <c r="B329" s="712" t="s">
        <v>739</v>
      </c>
      <c r="C329" s="712" t="s">
        <v>459</v>
      </c>
      <c r="F329" s="699" t="s">
        <v>891</v>
      </c>
      <c r="G329" s="714" t="s">
        <v>751</v>
      </c>
    </row>
    <row r="330" spans="1:8" hidden="1" x14ac:dyDescent="0.35">
      <c r="A330" s="735" t="s">
        <v>103</v>
      </c>
      <c r="B330">
        <v>0</v>
      </c>
      <c r="C330" t="s">
        <v>822</v>
      </c>
      <c r="G330" s="142"/>
    </row>
    <row r="331" spans="1:8" hidden="1" x14ac:dyDescent="0.35">
      <c r="A331" s="141" t="s">
        <v>818</v>
      </c>
      <c r="B331" s="738">
        <v>2549.01667</v>
      </c>
      <c r="C331" s="700" t="s">
        <v>822</v>
      </c>
      <c r="F331" s="700" t="s">
        <v>966</v>
      </c>
      <c r="G331" s="787" t="s">
        <v>883</v>
      </c>
    </row>
    <row r="332" spans="1:8" hidden="1" x14ac:dyDescent="0.35">
      <c r="A332" s="141" t="s">
        <v>819</v>
      </c>
      <c r="B332" s="782">
        <v>2251.5092600000003</v>
      </c>
      <c r="C332" s="700" t="s">
        <v>822</v>
      </c>
      <c r="F332" s="700" t="s">
        <v>967</v>
      </c>
      <c r="G332" s="787" t="s">
        <v>883</v>
      </c>
    </row>
    <row r="333" spans="1:8" ht="15" hidden="1" thickBot="1" x14ac:dyDescent="0.4">
      <c r="A333" s="143" t="s">
        <v>820</v>
      </c>
      <c r="B333" s="803">
        <v>2267.3492600000004</v>
      </c>
      <c r="C333" s="706" t="s">
        <v>822</v>
      </c>
      <c r="D333" s="145"/>
      <c r="E333" s="145"/>
      <c r="F333" s="706" t="s">
        <v>853</v>
      </c>
      <c r="G333" s="708" t="s">
        <v>968</v>
      </c>
    </row>
    <row r="334" spans="1:8" ht="15" hidden="1" thickBot="1" x14ac:dyDescent="0.4"/>
    <row r="335" spans="1:8" hidden="1" x14ac:dyDescent="0.35">
      <c r="A335" s="139" t="s">
        <v>802</v>
      </c>
      <c r="B335" s="695" t="s">
        <v>36</v>
      </c>
      <c r="C335" s="695"/>
      <c r="D335" s="695"/>
      <c r="E335" s="695"/>
      <c r="F335" s="695"/>
      <c r="G335" s="140"/>
      <c r="H335" s="689"/>
    </row>
    <row r="336" spans="1:8" hidden="1" x14ac:dyDescent="0.35">
      <c r="A336" s="141" t="s">
        <v>142</v>
      </c>
      <c r="B336" t="s">
        <v>739</v>
      </c>
      <c r="C336" t="s">
        <v>459</v>
      </c>
      <c r="D336" t="s">
        <v>767</v>
      </c>
      <c r="E336" t="s">
        <v>845</v>
      </c>
      <c r="F336" s="699" t="s">
        <v>891</v>
      </c>
      <c r="G336" s="714" t="s">
        <v>751</v>
      </c>
    </row>
    <row r="337" spans="1:8" hidden="1" x14ac:dyDescent="0.35">
      <c r="A337" s="735" t="s">
        <v>103</v>
      </c>
      <c r="B337">
        <v>0</v>
      </c>
      <c r="C337" s="756" t="s">
        <v>737</v>
      </c>
      <c r="D337" s="736">
        <v>0</v>
      </c>
      <c r="E337">
        <v>0</v>
      </c>
      <c r="G337" s="142"/>
    </row>
    <row r="338" spans="1:8" hidden="1" x14ac:dyDescent="0.35">
      <c r="A338" s="141" t="s">
        <v>329</v>
      </c>
      <c r="B338" s="719">
        <f>(1/0.15)*484.4</f>
        <v>3229.3333333333335</v>
      </c>
      <c r="C338" s="753" t="s">
        <v>737</v>
      </c>
      <c r="D338" s="793">
        <v>150</v>
      </c>
      <c r="E338">
        <v>300</v>
      </c>
      <c r="F338" s="700" t="s">
        <v>923</v>
      </c>
      <c r="G338" s="744" t="s">
        <v>921</v>
      </c>
    </row>
    <row r="339" spans="1:8" hidden="1" x14ac:dyDescent="0.35">
      <c r="A339" s="141" t="s">
        <v>330</v>
      </c>
      <c r="B339" s="719">
        <f>(1/0.022)*428.39</f>
        <v>19472.272727272728</v>
      </c>
      <c r="C339" s="753" t="s">
        <v>737</v>
      </c>
      <c r="D339" s="736">
        <v>22</v>
      </c>
      <c r="E339">
        <v>400</v>
      </c>
      <c r="F339" s="700" t="s">
        <v>924</v>
      </c>
      <c r="G339" s="744" t="s">
        <v>921</v>
      </c>
    </row>
    <row r="340" spans="1:8" hidden="1" x14ac:dyDescent="0.35">
      <c r="A340" s="141" t="s">
        <v>843</v>
      </c>
      <c r="B340" s="719">
        <f>(1/0.25)*2277.18</f>
        <v>9108.7199999999993</v>
      </c>
      <c r="C340" s="788" t="s">
        <v>737</v>
      </c>
      <c r="D340">
        <v>250</v>
      </c>
      <c r="E340">
        <v>300</v>
      </c>
      <c r="F340" s="700" t="s">
        <v>925</v>
      </c>
      <c r="G340" s="744" t="s">
        <v>921</v>
      </c>
    </row>
    <row r="341" spans="1:8" hidden="1" x14ac:dyDescent="0.35">
      <c r="A341" s="141" t="s">
        <v>844</v>
      </c>
      <c r="B341" s="719">
        <f>(1/0.375)*1718.3</f>
        <v>4582.1333333333332</v>
      </c>
      <c r="C341" s="746" t="s">
        <v>737</v>
      </c>
      <c r="D341">
        <v>375</v>
      </c>
      <c r="E341">
        <v>375</v>
      </c>
      <c r="F341" s="700" t="s">
        <v>926</v>
      </c>
      <c r="G341" s="744" t="s">
        <v>921</v>
      </c>
    </row>
    <row r="342" spans="1:8" hidden="1" x14ac:dyDescent="0.35">
      <c r="A342" s="141" t="str">
        <f>'LCA data'!$W$125</f>
        <v>Genbrugs terrændæk</v>
      </c>
      <c r="B342" s="719"/>
      <c r="C342" s="753"/>
      <c r="D342">
        <f>VLOOKUP($B$335&amp;"_"&amp;A342,'LCA data'!$B$7:$X$360,11,FALSE)</f>
        <v>1</v>
      </c>
      <c r="E342">
        <f>VLOOKUP($B$335&amp;"_"&amp;A342,'LCA data'!$B$7:$X$360,12,FALSE)</f>
        <v>300</v>
      </c>
      <c r="F342" s="700"/>
      <c r="G342" s="744"/>
    </row>
    <row r="343" spans="1:8" hidden="1" x14ac:dyDescent="0.35">
      <c r="A343" s="141" t="str">
        <f>'LCA data'!$W$126</f>
        <v>Brugerdefineret_1</v>
      </c>
      <c r="B343" s="719"/>
      <c r="C343" s="779"/>
      <c r="D343">
        <f>VLOOKUP($B$335&amp;"_"&amp;A343,'LCA data'!$B$7:$X$360,11,FALSE)</f>
        <v>1</v>
      </c>
      <c r="E343">
        <f>VLOOKUP($B$335&amp;"_"&amp;A343,'LCA data'!$B$7:$X$360,12,FALSE)</f>
        <v>300</v>
      </c>
      <c r="F343" s="700"/>
      <c r="G343" s="744"/>
    </row>
    <row r="344" spans="1:8" hidden="1" x14ac:dyDescent="0.35">
      <c r="A344" s="141" t="str">
        <f>'LCA data'!$W$127</f>
        <v>Brugerdefineret_2</v>
      </c>
      <c r="B344" s="719"/>
      <c r="C344" s="753"/>
      <c r="D344">
        <f>VLOOKUP($B$335&amp;"_"&amp;A344,'LCA data'!$B$7:$X$360,11,FALSE)</f>
        <v>1</v>
      </c>
      <c r="E344">
        <f>VLOOKUP($B$335&amp;"_"&amp;A344,'LCA data'!$B$7:$X$360,12,FALSE)</f>
        <v>300</v>
      </c>
      <c r="F344" s="700"/>
      <c r="G344" s="744"/>
    </row>
    <row r="345" spans="1:8" ht="15" hidden="1" thickBot="1" x14ac:dyDescent="0.4">
      <c r="A345" s="143" t="str">
        <f>'LCA data'!$W$128</f>
        <v>Brugerdefineret_3</v>
      </c>
      <c r="B345" s="729"/>
      <c r="C345" s="730"/>
      <c r="D345" s="145">
        <f>VLOOKUP($B$335&amp;"_"&amp;A345,'LCA data'!$B$7:$X$360,11,FALSE)</f>
        <v>1</v>
      </c>
      <c r="E345" s="145">
        <f>VLOOKUP($B$335&amp;"_"&amp;A345,'LCA data'!$B$7:$X$360,12,FALSE)</f>
        <v>300</v>
      </c>
      <c r="F345" s="706"/>
      <c r="G345" s="804"/>
    </row>
    <row r="346" spans="1:8" ht="15" hidden="1" thickBot="1" x14ac:dyDescent="0.4">
      <c r="B346" s="9"/>
    </row>
    <row r="347" spans="1:8" hidden="1" x14ac:dyDescent="0.35">
      <c r="A347" s="139" t="s">
        <v>803</v>
      </c>
      <c r="B347" s="805" t="s">
        <v>41</v>
      </c>
      <c r="C347" s="695"/>
      <c r="D347" s="695"/>
      <c r="E347" s="696"/>
      <c r="F347" s="697"/>
      <c r="G347" s="698"/>
      <c r="H347" s="3"/>
    </row>
    <row r="348" spans="1:8" hidden="1" x14ac:dyDescent="0.35">
      <c r="A348" s="711" t="s">
        <v>142</v>
      </c>
      <c r="B348" s="806" t="s">
        <v>739</v>
      </c>
      <c r="C348" s="712" t="s">
        <v>459</v>
      </c>
      <c r="D348" s="713" t="s">
        <v>767</v>
      </c>
      <c r="F348" t="s">
        <v>891</v>
      </c>
      <c r="G348" s="807" t="s">
        <v>751</v>
      </c>
    </row>
    <row r="349" spans="1:8" hidden="1" x14ac:dyDescent="0.35">
      <c r="A349" s="735" t="s">
        <v>103</v>
      </c>
      <c r="B349" s="9">
        <v>0</v>
      </c>
      <c r="C349" s="756" t="s">
        <v>736</v>
      </c>
      <c r="D349" s="756">
        <v>0</v>
      </c>
      <c r="G349" s="142"/>
    </row>
    <row r="350" spans="1:8" hidden="1" x14ac:dyDescent="0.35">
      <c r="A350" s="141" t="s">
        <v>299</v>
      </c>
      <c r="B350" s="719">
        <v>2747</v>
      </c>
      <c r="C350" s="753" t="s">
        <v>736</v>
      </c>
      <c r="D350">
        <v>200</v>
      </c>
      <c r="F350" s="717" t="s">
        <v>853</v>
      </c>
      <c r="G350" s="704" t="s">
        <v>901</v>
      </c>
    </row>
    <row r="351" spans="1:8" hidden="1" x14ac:dyDescent="0.35">
      <c r="A351" s="141" t="s">
        <v>335</v>
      </c>
      <c r="B351" s="719">
        <v>2005.67</v>
      </c>
      <c r="C351" s="753" t="s">
        <v>736</v>
      </c>
      <c r="D351">
        <v>250</v>
      </c>
      <c r="F351" s="700" t="s">
        <v>900</v>
      </c>
      <c r="G351" s="702" t="s">
        <v>883</v>
      </c>
    </row>
    <row r="352" spans="1:8" hidden="1" x14ac:dyDescent="0.35">
      <c r="A352" s="141" t="s">
        <v>336</v>
      </c>
      <c r="B352" s="719">
        <v>681.83</v>
      </c>
      <c r="C352" s="753" t="s">
        <v>736</v>
      </c>
      <c r="D352">
        <v>200</v>
      </c>
      <c r="F352" s="700" t="s">
        <v>899</v>
      </c>
      <c r="G352" s="702" t="s">
        <v>883</v>
      </c>
    </row>
    <row r="353" spans="1:7" hidden="1" x14ac:dyDescent="0.35">
      <c r="A353" s="141" t="s">
        <v>337</v>
      </c>
      <c r="B353" s="719">
        <v>1091.42</v>
      </c>
      <c r="C353" s="788" t="s">
        <v>736</v>
      </c>
      <c r="D353">
        <v>220</v>
      </c>
      <c r="F353" s="700" t="s">
        <v>898</v>
      </c>
      <c r="G353" s="702" t="s">
        <v>883</v>
      </c>
    </row>
    <row r="354" spans="1:7" hidden="1" x14ac:dyDescent="0.35">
      <c r="A354" s="141" t="s">
        <v>842</v>
      </c>
      <c r="B354" s="719">
        <v>859.8</v>
      </c>
      <c r="C354" s="746" t="s">
        <v>736</v>
      </c>
      <c r="D354">
        <v>340</v>
      </c>
      <c r="F354" s="700" t="s">
        <v>897</v>
      </c>
      <c r="G354" s="702" t="s">
        <v>883</v>
      </c>
    </row>
    <row r="355" spans="1:7" hidden="1" x14ac:dyDescent="0.35">
      <c r="A355" s="141" t="str">
        <f>'LCA data'!$W$145</f>
        <v>Genbrugs dæk</v>
      </c>
      <c r="B355" s="719"/>
      <c r="C355" s="753"/>
      <c r="D355">
        <f>VLOOKUP($B$347&amp;"_"&amp;A355,'LCA data'!$B$7:$X$360,11,FALSE)</f>
        <v>1</v>
      </c>
      <c r="F355" s="700"/>
      <c r="G355" s="702"/>
    </row>
    <row r="356" spans="1:7" hidden="1" x14ac:dyDescent="0.35">
      <c r="A356" s="141" t="str">
        <f>'LCA data'!$W$146</f>
        <v>Brugerdefineret_1</v>
      </c>
      <c r="B356" s="719"/>
      <c r="C356" s="779"/>
      <c r="D356">
        <f>VLOOKUP($B$347&amp;"_"&amp;A356,'LCA data'!$B$7:$X$360,11,FALSE)</f>
        <v>1</v>
      </c>
      <c r="F356" s="700"/>
      <c r="G356" s="702"/>
    </row>
    <row r="357" spans="1:7" hidden="1" x14ac:dyDescent="0.35">
      <c r="A357" s="141" t="str">
        <f>'LCA data'!$W$147</f>
        <v>Brugerdefineret_2</v>
      </c>
      <c r="B357" s="719"/>
      <c r="C357" s="753"/>
      <c r="D357">
        <f>VLOOKUP($B$347&amp;"_"&amp;A357,'LCA data'!$B$7:$X$360,11,FALSE)</f>
        <v>1</v>
      </c>
      <c r="F357" s="700"/>
      <c r="G357" s="702"/>
    </row>
    <row r="358" spans="1:7" ht="15" hidden="1" thickBot="1" x14ac:dyDescent="0.4">
      <c r="A358" s="143" t="str">
        <f>'LCA data'!$W$148</f>
        <v>Brugerdefineret_3</v>
      </c>
      <c r="B358" s="729"/>
      <c r="C358" s="730"/>
      <c r="D358" s="145">
        <f>VLOOKUP($B$347&amp;"_"&amp;A358,'LCA data'!$B$7:$X$360,11,FALSE)</f>
        <v>1</v>
      </c>
      <c r="E358" s="145"/>
      <c r="F358" s="706"/>
      <c r="G358" s="718"/>
    </row>
    <row r="359" spans="1:7" ht="15" hidden="1" thickBot="1" x14ac:dyDescent="0.4">
      <c r="C359" s="741"/>
    </row>
    <row r="360" spans="1:7" hidden="1" x14ac:dyDescent="0.35">
      <c r="A360" s="139" t="s">
        <v>804</v>
      </c>
      <c r="B360" s="695"/>
      <c r="C360" s="808"/>
      <c r="D360" s="695"/>
      <c r="E360" s="696"/>
      <c r="F360" s="695"/>
      <c r="G360" s="140"/>
    </row>
    <row r="361" spans="1:7" hidden="1" x14ac:dyDescent="0.35">
      <c r="A361" s="809" t="s">
        <v>142</v>
      </c>
      <c r="B361" s="810" t="s">
        <v>739</v>
      </c>
      <c r="C361" s="810" t="s">
        <v>459</v>
      </c>
      <c r="F361" s="699" t="s">
        <v>891</v>
      </c>
      <c r="G361" s="714" t="s">
        <v>751</v>
      </c>
    </row>
    <row r="362" spans="1:7" hidden="1" x14ac:dyDescent="0.35">
      <c r="A362" s="141" t="s">
        <v>42</v>
      </c>
      <c r="B362" s="700">
        <f>14400/1.8</f>
        <v>8000</v>
      </c>
      <c r="C362" s="811" t="s">
        <v>736</v>
      </c>
      <c r="F362" s="700"/>
      <c r="G362" s="704"/>
    </row>
    <row r="363" spans="1:7" hidden="1" x14ac:dyDescent="0.35">
      <c r="A363" s="141" t="s">
        <v>978</v>
      </c>
      <c r="B363" s="811">
        <v>2000</v>
      </c>
      <c r="C363" s="811" t="s">
        <v>979</v>
      </c>
      <c r="F363" s="700"/>
      <c r="G363" s="704"/>
    </row>
    <row r="364" spans="1:7" ht="15" hidden="1" thickBot="1" x14ac:dyDescent="0.4">
      <c r="A364" s="143" t="s">
        <v>980</v>
      </c>
      <c r="B364" s="706">
        <v>5500</v>
      </c>
      <c r="C364" s="812" t="s">
        <v>979</v>
      </c>
      <c r="D364" s="145"/>
      <c r="E364" s="145"/>
      <c r="F364" s="706"/>
      <c r="G364" s="708"/>
    </row>
    <row r="365" spans="1:7" hidden="1" x14ac:dyDescent="0.35"/>
    <row r="366" spans="1:7" hidden="1" x14ac:dyDescent="0.35">
      <c r="A366" t="s">
        <v>76</v>
      </c>
    </row>
    <row r="367" spans="1:7" hidden="1" x14ac:dyDescent="0.35">
      <c r="A367" t="s">
        <v>729</v>
      </c>
      <c r="B367" t="s">
        <v>778</v>
      </c>
      <c r="C367" t="s">
        <v>779</v>
      </c>
      <c r="D367" t="s">
        <v>781</v>
      </c>
      <c r="E367" t="s">
        <v>780</v>
      </c>
      <c r="F367" t="s">
        <v>782</v>
      </c>
      <c r="G367" t="s">
        <v>783</v>
      </c>
    </row>
    <row r="368" spans="1:7" hidden="1" x14ac:dyDescent="0.35">
      <c r="A368" s="813" t="str">
        <f>'LCA data'!$B$8</f>
        <v>Udvendig beklædning</v>
      </c>
      <c r="B368" s="15" t="s">
        <v>271</v>
      </c>
      <c r="C368" s="15" t="s">
        <v>271</v>
      </c>
      <c r="D368" s="15" t="s">
        <v>102</v>
      </c>
      <c r="E368" s="15" t="s">
        <v>271</v>
      </c>
      <c r="F368" s="15" t="s">
        <v>102</v>
      </c>
      <c r="G368" s="15" t="s">
        <v>102</v>
      </c>
    </row>
    <row r="369" spans="1:7" hidden="1" x14ac:dyDescent="0.35">
      <c r="A369" s="814" t="str">
        <f>'LCA data'!$B$25</f>
        <v>Udvendig konstruktion</v>
      </c>
      <c r="B369" s="168" t="s">
        <v>103</v>
      </c>
      <c r="C369" s="168" t="s">
        <v>103</v>
      </c>
      <c r="D369" s="168" t="s">
        <v>104</v>
      </c>
      <c r="E369" s="168" t="s">
        <v>103</v>
      </c>
      <c r="F369" s="168" t="s">
        <v>104</v>
      </c>
      <c r="G369" s="168" t="s">
        <v>104</v>
      </c>
    </row>
    <row r="370" spans="1:7" hidden="1" x14ac:dyDescent="0.35">
      <c r="A370" s="813" t="str">
        <f>'LCA data'!$B$32</f>
        <v>Isolering</v>
      </c>
      <c r="B370" s="169" t="s">
        <v>105</v>
      </c>
      <c r="C370" s="169" t="s">
        <v>105</v>
      </c>
      <c r="D370" s="169" t="s">
        <v>105</v>
      </c>
      <c r="E370" s="169" t="s">
        <v>285</v>
      </c>
      <c r="F370" s="169" t="s">
        <v>285</v>
      </c>
      <c r="G370" s="169" t="s">
        <v>285</v>
      </c>
    </row>
    <row r="371" spans="1:7" hidden="1" x14ac:dyDescent="0.35">
      <c r="A371" s="814" t="str">
        <f>'LCA data'!$B$52</f>
        <v>Indvendig konstruktion</v>
      </c>
      <c r="B371" s="16" t="s">
        <v>297</v>
      </c>
      <c r="C371" s="16" t="s">
        <v>298</v>
      </c>
      <c r="D371" s="16" t="s">
        <v>298</v>
      </c>
      <c r="E371" s="16" t="s">
        <v>299</v>
      </c>
      <c r="F371" s="16" t="s">
        <v>299</v>
      </c>
      <c r="G371" s="16" t="s">
        <v>107</v>
      </c>
    </row>
    <row r="372" spans="1:7" ht="15" hidden="1" thickBot="1" x14ac:dyDescent="0.4">
      <c r="A372" s="813" t="str">
        <f>'LCA data'!$B$65</f>
        <v>Indvendig beklædning</v>
      </c>
      <c r="B372" s="171" t="s">
        <v>103</v>
      </c>
      <c r="C372" s="171" t="s">
        <v>108</v>
      </c>
      <c r="D372" s="171" t="s">
        <v>108</v>
      </c>
      <c r="E372" s="171" t="s">
        <v>307</v>
      </c>
      <c r="F372" s="171" t="s">
        <v>307</v>
      </c>
      <c r="G372" s="171" t="s">
        <v>307</v>
      </c>
    </row>
    <row r="373" spans="1:7" hidden="1" x14ac:dyDescent="0.35"/>
    <row r="374" spans="1:7" hidden="1" x14ac:dyDescent="0.35">
      <c r="A374" t="s">
        <v>314</v>
      </c>
    </row>
    <row r="375" spans="1:7" hidden="1" x14ac:dyDescent="0.35">
      <c r="A375" s="712" t="s">
        <v>729</v>
      </c>
      <c r="B375" s="712" t="s">
        <v>778</v>
      </c>
      <c r="C375" s="712" t="s">
        <v>779</v>
      </c>
      <c r="D375" s="712" t="s">
        <v>781</v>
      </c>
      <c r="E375" s="712" t="s">
        <v>780</v>
      </c>
      <c r="F375" s="712" t="s">
        <v>782</v>
      </c>
      <c r="G375" s="713" t="s">
        <v>783</v>
      </c>
    </row>
    <row r="376" spans="1:7" hidden="1" x14ac:dyDescent="0.35">
      <c r="A376" s="736" t="str">
        <f>'LCA data'!$B$77</f>
        <v>Tagbelægning</v>
      </c>
      <c r="B376" s="15" t="s">
        <v>309</v>
      </c>
      <c r="C376" s="15" t="s">
        <v>115</v>
      </c>
      <c r="D376" s="15" t="s">
        <v>115</v>
      </c>
      <c r="E376" s="15" t="s">
        <v>882</v>
      </c>
      <c r="F376" s="15" t="s">
        <v>882</v>
      </c>
      <c r="G376" s="15" t="s">
        <v>312</v>
      </c>
    </row>
    <row r="377" spans="1:7" hidden="1" x14ac:dyDescent="0.35">
      <c r="A377" s="764" t="str">
        <f>'LCA data'!B$32</f>
        <v>Isolering</v>
      </c>
      <c r="B377" s="168" t="s">
        <v>105</v>
      </c>
      <c r="C377" s="168" t="s">
        <v>105</v>
      </c>
      <c r="D377" s="168" t="s">
        <v>105</v>
      </c>
      <c r="E377" s="168" t="s">
        <v>285</v>
      </c>
      <c r="F377" s="168" t="s">
        <v>285</v>
      </c>
      <c r="G377" s="168" t="s">
        <v>285</v>
      </c>
    </row>
    <row r="378" spans="1:7" hidden="1" x14ac:dyDescent="0.35">
      <c r="A378" s="736" t="str">
        <f>'LCA data'!$B$93</f>
        <v>Tagkonstruktion</v>
      </c>
      <c r="B378" s="169" t="s">
        <v>320</v>
      </c>
      <c r="C378" s="169" t="s">
        <v>320</v>
      </c>
      <c r="D378" s="169" t="s">
        <v>860</v>
      </c>
      <c r="E378" s="169" t="s">
        <v>299</v>
      </c>
      <c r="F378" s="169" t="s">
        <v>318</v>
      </c>
      <c r="G378" s="169" t="s">
        <v>318</v>
      </c>
    </row>
    <row r="379" spans="1:7" ht="15" hidden="1" thickBot="1" x14ac:dyDescent="0.4">
      <c r="A379" s="764" t="str">
        <f>'LCA data'!$B$105</f>
        <v>Loftsbeklædning</v>
      </c>
      <c r="B379" s="171" t="s">
        <v>328</v>
      </c>
      <c r="C379" s="171" t="s">
        <v>327</v>
      </c>
      <c r="D379" s="171" t="s">
        <v>327</v>
      </c>
      <c r="E379" s="171" t="s">
        <v>323</v>
      </c>
      <c r="F379" s="171" t="s">
        <v>323</v>
      </c>
      <c r="G379" s="171" t="s">
        <v>323</v>
      </c>
    </row>
    <row r="380" spans="1:7" hidden="1" x14ac:dyDescent="0.35"/>
    <row r="381" spans="1:7" hidden="1" x14ac:dyDescent="0.35">
      <c r="A381" t="s">
        <v>36</v>
      </c>
    </row>
    <row r="382" spans="1:7" hidden="1" x14ac:dyDescent="0.35">
      <c r="A382" s="712" t="s">
        <v>729</v>
      </c>
      <c r="B382" s="712" t="s">
        <v>778</v>
      </c>
      <c r="C382" s="712" t="s">
        <v>779</v>
      </c>
      <c r="D382" s="712" t="s">
        <v>781</v>
      </c>
      <c r="E382" s="712" t="s">
        <v>780</v>
      </c>
      <c r="F382" s="712" t="s">
        <v>782</v>
      </c>
      <c r="G382" s="713" t="s">
        <v>783</v>
      </c>
    </row>
    <row r="383" spans="1:7" hidden="1" x14ac:dyDescent="0.35">
      <c r="A383" s="736" t="str">
        <f>'LCA data'!$B$149</f>
        <v>Gulvoverflade</v>
      </c>
      <c r="B383" s="15" t="s">
        <v>342</v>
      </c>
      <c r="C383" s="15" t="s">
        <v>342</v>
      </c>
      <c r="D383" s="15" t="s">
        <v>342</v>
      </c>
      <c r="E383" s="15" t="s">
        <v>342</v>
      </c>
      <c r="F383" s="15" t="s">
        <v>342</v>
      </c>
      <c r="G383" s="15" t="s">
        <v>342</v>
      </c>
    </row>
    <row r="384" spans="1:7" hidden="1" x14ac:dyDescent="0.35">
      <c r="A384" s="764" t="str">
        <f>'LCA data'!B$32</f>
        <v>Isolering</v>
      </c>
      <c r="B384" s="168" t="s">
        <v>287</v>
      </c>
      <c r="C384" s="168" t="s">
        <v>287</v>
      </c>
      <c r="D384" s="168" t="s">
        <v>287</v>
      </c>
      <c r="E384" s="168" t="s">
        <v>287</v>
      </c>
      <c r="F384" s="168" t="s">
        <v>285</v>
      </c>
      <c r="G384" s="168" t="s">
        <v>285</v>
      </c>
    </row>
    <row r="385" spans="1:7" hidden="1" x14ac:dyDescent="0.35">
      <c r="A385" s="736" t="str">
        <f>'LCA data'!$B$119</f>
        <v>Terrændæk</v>
      </c>
      <c r="B385" s="169" t="s">
        <v>329</v>
      </c>
      <c r="C385" s="169" t="s">
        <v>330</v>
      </c>
      <c r="D385" s="169" t="s">
        <v>843</v>
      </c>
      <c r="E385" s="169" t="s">
        <v>329</v>
      </c>
      <c r="F385" s="169" t="s">
        <v>844</v>
      </c>
      <c r="G385" s="169" t="s">
        <v>844</v>
      </c>
    </row>
    <row r="386" spans="1:7" ht="15" hidden="1" thickBot="1" x14ac:dyDescent="0.4">
      <c r="A386" s="764" t="str">
        <f>'LCA data'!$B$129</f>
        <v>Kapillarbrydende lag</v>
      </c>
      <c r="B386" s="171" t="s">
        <v>862</v>
      </c>
      <c r="C386" s="171" t="s">
        <v>862</v>
      </c>
      <c r="D386" s="171" t="s">
        <v>862</v>
      </c>
      <c r="E386" s="171" t="s">
        <v>862</v>
      </c>
      <c r="F386" s="171" t="s">
        <v>862</v>
      </c>
      <c r="G386" s="171" t="s">
        <v>862</v>
      </c>
    </row>
    <row r="387" spans="1:7" hidden="1" x14ac:dyDescent="0.35"/>
    <row r="388" spans="1:7" hidden="1" x14ac:dyDescent="0.35">
      <c r="A388" t="s">
        <v>784</v>
      </c>
    </row>
    <row r="389" spans="1:7" hidden="1" x14ac:dyDescent="0.35">
      <c r="A389" s="712" t="s">
        <v>729</v>
      </c>
      <c r="B389" s="712" t="s">
        <v>778</v>
      </c>
      <c r="C389" s="712" t="s">
        <v>779</v>
      </c>
      <c r="D389" s="712" t="s">
        <v>781</v>
      </c>
      <c r="E389" s="712" t="s">
        <v>780</v>
      </c>
      <c r="F389" s="712" t="s">
        <v>782</v>
      </c>
      <c r="G389" s="713" t="s">
        <v>783</v>
      </c>
    </row>
    <row r="390" spans="1:7" hidden="1" x14ac:dyDescent="0.35">
      <c r="A390" s="736" t="str">
        <f>'LCA data'!$B$65</f>
        <v>Indvendig beklædning</v>
      </c>
      <c r="B390" s="15" t="s">
        <v>103</v>
      </c>
      <c r="C390" s="15" t="s">
        <v>103</v>
      </c>
      <c r="D390" s="15" t="s">
        <v>108</v>
      </c>
      <c r="E390" s="15" t="s">
        <v>103</v>
      </c>
      <c r="F390" s="15" t="s">
        <v>304</v>
      </c>
      <c r="G390" s="15" t="s">
        <v>307</v>
      </c>
    </row>
    <row r="391" spans="1:7" hidden="1" x14ac:dyDescent="0.35">
      <c r="A391" s="764" t="str">
        <f>'LCA data'!$B$32</f>
        <v>Isolering</v>
      </c>
      <c r="B391" s="168" t="s">
        <v>103</v>
      </c>
      <c r="C391" s="168" t="s">
        <v>103</v>
      </c>
      <c r="D391" s="168" t="s">
        <v>105</v>
      </c>
      <c r="E391" s="168" t="s">
        <v>103</v>
      </c>
      <c r="F391" s="168" t="s">
        <v>285</v>
      </c>
      <c r="G391" s="168" t="s">
        <v>285</v>
      </c>
    </row>
    <row r="392" spans="1:7" hidden="1" x14ac:dyDescent="0.35">
      <c r="A392" s="736" t="str">
        <f>'LCA data'!$B$201</f>
        <v>Skillevægskonstruktion</v>
      </c>
      <c r="B392" s="169" t="s">
        <v>309</v>
      </c>
      <c r="C392" s="169" t="s">
        <v>300</v>
      </c>
      <c r="D392" s="169" t="s">
        <v>298</v>
      </c>
      <c r="E392" s="169" t="s">
        <v>299</v>
      </c>
      <c r="F392" s="169" t="s">
        <v>107</v>
      </c>
      <c r="G392" s="169" t="s">
        <v>107</v>
      </c>
    </row>
    <row r="393" spans="1:7" ht="15" hidden="1" thickBot="1" x14ac:dyDescent="0.4">
      <c r="A393" s="764" t="str">
        <f>'LCA data'!$B$65</f>
        <v>Indvendig beklædning</v>
      </c>
      <c r="B393" s="171" t="s">
        <v>103</v>
      </c>
      <c r="C393" s="171" t="s">
        <v>103</v>
      </c>
      <c r="D393" s="171" t="s">
        <v>108</v>
      </c>
      <c r="E393" s="171" t="s">
        <v>103</v>
      </c>
      <c r="F393" s="171" t="s">
        <v>305</v>
      </c>
      <c r="G393" s="171" t="s">
        <v>307</v>
      </c>
    </row>
    <row r="394" spans="1:7" hidden="1" x14ac:dyDescent="0.35"/>
    <row r="395" spans="1:7" hidden="1" x14ac:dyDescent="0.35">
      <c r="A395" t="s">
        <v>41</v>
      </c>
    </row>
    <row r="396" spans="1:7" hidden="1" x14ac:dyDescent="0.35">
      <c r="A396" s="712" t="s">
        <v>729</v>
      </c>
      <c r="B396" s="712" t="s">
        <v>778</v>
      </c>
      <c r="C396" s="712" t="s">
        <v>779</v>
      </c>
      <c r="D396" s="712" t="s">
        <v>781</v>
      </c>
      <c r="E396" s="712" t="s">
        <v>780</v>
      </c>
      <c r="F396" s="712" t="s">
        <v>782</v>
      </c>
      <c r="G396" s="713" t="s">
        <v>783</v>
      </c>
    </row>
    <row r="397" spans="1:7" hidden="1" x14ac:dyDescent="0.35">
      <c r="A397" s="736" t="str">
        <f>'LCA data'!$B$149</f>
        <v>Gulvoverflade</v>
      </c>
      <c r="B397" s="15" t="s">
        <v>342</v>
      </c>
      <c r="C397" s="15" t="s">
        <v>342</v>
      </c>
      <c r="D397" s="15" t="s">
        <v>342</v>
      </c>
      <c r="E397" s="15" t="s">
        <v>342</v>
      </c>
      <c r="F397" s="15" t="s">
        <v>342</v>
      </c>
      <c r="G397" s="15" t="s">
        <v>342</v>
      </c>
    </row>
    <row r="398" spans="1:7" hidden="1" x14ac:dyDescent="0.35">
      <c r="A398" s="764" t="str">
        <f>'LCA data'!$B$32</f>
        <v>Isolering</v>
      </c>
      <c r="B398" s="168" t="s">
        <v>105</v>
      </c>
      <c r="C398" s="168" t="s">
        <v>105</v>
      </c>
      <c r="D398" s="168" t="s">
        <v>105</v>
      </c>
      <c r="E398" s="168" t="s">
        <v>285</v>
      </c>
      <c r="F398" s="168" t="s">
        <v>285</v>
      </c>
      <c r="G398" s="168" t="s">
        <v>285</v>
      </c>
    </row>
    <row r="399" spans="1:7" hidden="1" x14ac:dyDescent="0.35">
      <c r="A399" s="736" t="str">
        <f>'LCA data'!$B$138</f>
        <v>Etagedæk</v>
      </c>
      <c r="B399" s="169" t="s">
        <v>337</v>
      </c>
      <c r="C399" s="169" t="s">
        <v>336</v>
      </c>
      <c r="D399" s="169" t="s">
        <v>335</v>
      </c>
      <c r="E399" s="169" t="s">
        <v>299</v>
      </c>
      <c r="F399" s="169" t="s">
        <v>299</v>
      </c>
      <c r="G399" s="169" t="s">
        <v>842</v>
      </c>
    </row>
    <row r="400" spans="1:7" ht="15" hidden="1" thickBot="1" x14ac:dyDescent="0.4">
      <c r="A400" s="764" t="str">
        <f>'LCA data'!$B$105</f>
        <v>Loftsbeklædning</v>
      </c>
      <c r="B400" s="171" t="s">
        <v>328</v>
      </c>
      <c r="C400" s="171" t="s">
        <v>328</v>
      </c>
      <c r="D400" s="171" t="s">
        <v>327</v>
      </c>
      <c r="E400" s="171" t="s">
        <v>323</v>
      </c>
      <c r="F400" s="171" t="s">
        <v>323</v>
      </c>
      <c r="G400" s="171" t="s">
        <v>323</v>
      </c>
    </row>
    <row r="401" spans="1:3" hidden="1" x14ac:dyDescent="0.35"/>
    <row r="402" spans="1:3" hidden="1" x14ac:dyDescent="0.35">
      <c r="A402" t="s">
        <v>798</v>
      </c>
    </row>
    <row r="403" spans="1:3" hidden="1" x14ac:dyDescent="0.35">
      <c r="A403" s="712" t="s">
        <v>729</v>
      </c>
      <c r="B403" s="712" t="s">
        <v>4</v>
      </c>
      <c r="C403" s="712" t="s">
        <v>5</v>
      </c>
    </row>
    <row r="404" spans="1:3" hidden="1" x14ac:dyDescent="0.35">
      <c r="A404" s="736" t="str">
        <f>'LCA data'!$B$8</f>
        <v>Udvendig beklædning</v>
      </c>
      <c r="B404" s="15" t="s">
        <v>103</v>
      </c>
      <c r="C404" s="15" t="s">
        <v>103</v>
      </c>
    </row>
    <row r="405" spans="1:3" hidden="1" x14ac:dyDescent="0.35">
      <c r="A405" s="764" t="str">
        <f>'LCA data'!$B$25</f>
        <v>Udvendig konstruktion</v>
      </c>
      <c r="B405" s="168" t="s">
        <v>103</v>
      </c>
      <c r="C405" s="168" t="s">
        <v>103</v>
      </c>
    </row>
    <row r="406" spans="1:3" hidden="1" x14ac:dyDescent="0.35">
      <c r="A406" s="736" t="str">
        <f>'LCA data'!$B$32</f>
        <v>Isolering</v>
      </c>
      <c r="B406" s="169" t="s">
        <v>287</v>
      </c>
      <c r="C406" s="169" t="s">
        <v>287</v>
      </c>
    </row>
    <row r="407" spans="1:3" hidden="1" x14ac:dyDescent="0.35">
      <c r="A407" s="764" t="str">
        <f>'LCA data'!$B$52</f>
        <v>Indvendig konstruktion</v>
      </c>
      <c r="B407" s="16" t="s">
        <v>297</v>
      </c>
      <c r="C407" s="16" t="s">
        <v>297</v>
      </c>
    </row>
    <row r="408" spans="1:3" ht="15" hidden="1" thickBot="1" x14ac:dyDescent="0.4">
      <c r="A408" s="736" t="str">
        <f>'LCA data'!$B$65</f>
        <v>Indvendig beklædning</v>
      </c>
      <c r="B408" s="171" t="s">
        <v>103</v>
      </c>
      <c r="C408" s="171" t="s">
        <v>103</v>
      </c>
    </row>
    <row r="409" spans="1:3" hidden="1" x14ac:dyDescent="0.35"/>
    <row r="410" spans="1:3" hidden="1" x14ac:dyDescent="0.35">
      <c r="A410" t="s">
        <v>766</v>
      </c>
    </row>
    <row r="411" spans="1:3" hidden="1" x14ac:dyDescent="0.35">
      <c r="A411" s="712" t="s">
        <v>729</v>
      </c>
      <c r="B411" s="712" t="s">
        <v>4</v>
      </c>
      <c r="C411" s="712" t="s">
        <v>5</v>
      </c>
    </row>
    <row r="412" spans="1:3" hidden="1" x14ac:dyDescent="0.35">
      <c r="A412" s="736" t="str">
        <f>'LCA data'!$B$65</f>
        <v>Indvendig beklædning</v>
      </c>
      <c r="B412" s="15" t="s">
        <v>103</v>
      </c>
      <c r="C412" s="15" t="s">
        <v>103</v>
      </c>
    </row>
    <row r="413" spans="1:3" hidden="1" x14ac:dyDescent="0.35">
      <c r="A413" s="764" t="str">
        <f>'LCA data'!$B$32</f>
        <v>Isolering</v>
      </c>
      <c r="B413" s="168" t="s">
        <v>287</v>
      </c>
      <c r="C413" s="168" t="s">
        <v>287</v>
      </c>
    </row>
    <row r="414" spans="1:3" hidden="1" x14ac:dyDescent="0.35">
      <c r="A414" s="736" t="str">
        <f>'LCA data'!$B$201</f>
        <v>Skillevægskonstruktion</v>
      </c>
      <c r="B414" s="169" t="s">
        <v>297</v>
      </c>
      <c r="C414" s="169" t="s">
        <v>297</v>
      </c>
    </row>
    <row r="415" spans="1:3" ht="15" hidden="1" thickBot="1" x14ac:dyDescent="0.4">
      <c r="A415" s="764" t="str">
        <f>'LCA data'!$B$65</f>
        <v>Indvendig beklædning</v>
      </c>
      <c r="B415" s="171" t="s">
        <v>103</v>
      </c>
      <c r="C415" s="171" t="s">
        <v>103</v>
      </c>
    </row>
    <row r="416" spans="1:3" hidden="1" x14ac:dyDescent="0.35"/>
    <row r="417" spans="1:7" hidden="1" x14ac:dyDescent="0.35">
      <c r="A417" t="s">
        <v>776</v>
      </c>
    </row>
    <row r="418" spans="1:7" hidden="1" x14ac:dyDescent="0.35">
      <c r="A418" s="712" t="s">
        <v>729</v>
      </c>
      <c r="B418" s="712" t="s">
        <v>4</v>
      </c>
      <c r="C418" s="712" t="s">
        <v>5</v>
      </c>
    </row>
    <row r="419" spans="1:7" hidden="1" x14ac:dyDescent="0.35">
      <c r="A419" s="736" t="str">
        <f>'LCA data'!$B$149</f>
        <v>Gulvoverflade</v>
      </c>
      <c r="B419" s="15" t="s">
        <v>343</v>
      </c>
      <c r="C419" s="15" t="s">
        <v>343</v>
      </c>
    </row>
    <row r="420" spans="1:7" hidden="1" x14ac:dyDescent="0.35">
      <c r="A420" s="764" t="str">
        <f>'LCA data'!$B$32</f>
        <v>Isolering</v>
      </c>
      <c r="B420" s="168" t="s">
        <v>287</v>
      </c>
      <c r="C420" s="168" t="s">
        <v>287</v>
      </c>
    </row>
    <row r="421" spans="1:7" hidden="1" x14ac:dyDescent="0.35">
      <c r="A421" s="736" t="str">
        <f>'LCA data'!$B$138</f>
        <v>Etagedæk</v>
      </c>
      <c r="B421" s="169" t="s">
        <v>337</v>
      </c>
      <c r="C421" s="169" t="s">
        <v>337</v>
      </c>
    </row>
    <row r="422" spans="1:7" ht="15" hidden="1" thickBot="1" x14ac:dyDescent="0.4">
      <c r="A422" s="764" t="str">
        <f>'LCA data'!$B$105</f>
        <v>Loftsbeklædning</v>
      </c>
      <c r="B422" s="171" t="s">
        <v>328</v>
      </c>
      <c r="C422" s="171" t="s">
        <v>328</v>
      </c>
    </row>
    <row r="423" spans="1:7" hidden="1" x14ac:dyDescent="0.35"/>
    <row r="424" spans="1:7" hidden="1" x14ac:dyDescent="0.35">
      <c r="A424" t="s">
        <v>817</v>
      </c>
    </row>
    <row r="425" spans="1:7" hidden="1" x14ac:dyDescent="0.35">
      <c r="A425" s="693" t="s">
        <v>729</v>
      </c>
      <c r="B425" s="712" t="s">
        <v>778</v>
      </c>
      <c r="C425" s="712" t="s">
        <v>779</v>
      </c>
      <c r="D425" s="712" t="s">
        <v>781</v>
      </c>
      <c r="E425" s="712" t="s">
        <v>780</v>
      </c>
      <c r="F425" s="712" t="s">
        <v>782</v>
      </c>
      <c r="G425" s="713" t="s">
        <v>783</v>
      </c>
    </row>
    <row r="426" spans="1:7" hidden="1" x14ac:dyDescent="0.35">
      <c r="A426" t="s">
        <v>817</v>
      </c>
      <c r="B426" s="15" t="s">
        <v>818</v>
      </c>
      <c r="C426" s="15" t="s">
        <v>818</v>
      </c>
      <c r="D426" s="15" t="s">
        <v>819</v>
      </c>
      <c r="E426" s="15" t="s">
        <v>819</v>
      </c>
      <c r="F426" s="15" t="s">
        <v>819</v>
      </c>
      <c r="G426" s="15" t="s">
        <v>820</v>
      </c>
    </row>
    <row r="427" spans="1:7" hidden="1" x14ac:dyDescent="0.35"/>
    <row r="428" spans="1:7" hidden="1" x14ac:dyDescent="0.35"/>
    <row r="429" spans="1:7" hidden="1" x14ac:dyDescent="0.35">
      <c r="A429" t="s">
        <v>14</v>
      </c>
      <c r="B429" t="s">
        <v>988</v>
      </c>
    </row>
    <row r="430" spans="1:7" hidden="1" x14ac:dyDescent="0.35">
      <c r="A430">
        <v>2023</v>
      </c>
      <c r="B430" t="s">
        <v>26</v>
      </c>
    </row>
    <row r="431" spans="1:7" hidden="1" x14ac:dyDescent="0.35">
      <c r="A431">
        <v>2024</v>
      </c>
      <c r="B431" t="s">
        <v>26</v>
      </c>
    </row>
    <row r="432" spans="1:7" hidden="1" x14ac:dyDescent="0.35">
      <c r="A432">
        <v>2025</v>
      </c>
      <c r="B432" t="s">
        <v>50</v>
      </c>
    </row>
    <row r="433" spans="1:2" hidden="1" x14ac:dyDescent="0.35">
      <c r="A433">
        <v>2026</v>
      </c>
      <c r="B433" t="s">
        <v>50</v>
      </c>
    </row>
    <row r="434" spans="1:2" hidden="1" x14ac:dyDescent="0.35">
      <c r="A434">
        <v>2027</v>
      </c>
      <c r="B434" t="s">
        <v>51</v>
      </c>
    </row>
    <row r="435" spans="1:2" hidden="1" x14ac:dyDescent="0.35">
      <c r="A435">
        <v>2028</v>
      </c>
      <c r="B435" t="s">
        <v>51</v>
      </c>
    </row>
    <row r="436" spans="1:2" hidden="1" x14ac:dyDescent="0.35">
      <c r="A436">
        <v>2029</v>
      </c>
      <c r="B436" t="s">
        <v>53</v>
      </c>
    </row>
    <row r="437" spans="1:2" hidden="1" x14ac:dyDescent="0.35">
      <c r="A437" s="687" t="s">
        <v>989</v>
      </c>
      <c r="B437" t="s">
        <v>53</v>
      </c>
    </row>
    <row r="438" spans="1:2" hidden="1" x14ac:dyDescent="0.35"/>
    <row r="439" spans="1:2" hidden="1" x14ac:dyDescent="0.35"/>
  </sheetData>
  <sheetProtection algorithmName="SHA-512" hashValue="1vlVb96PKTopwpIHHBJ42/XRVG9tO1OBc+Byzvy7tOgk3fg/J8GMcBY3UJpxcwGfacxTTr5khMvriN3b74/dWw==" saltValue="ygNxEYFHl4cTAqC1y1o/xg==" spinCount="100000" sheet="1" objects="1" scenarios="1"/>
  <mergeCells count="4">
    <mergeCell ref="A118:C118"/>
    <mergeCell ref="A130:C130"/>
    <mergeCell ref="A176:C176"/>
    <mergeCell ref="A153:C153"/>
  </mergeCells>
  <phoneticPr fontId="12" type="noConversion"/>
  <conditionalFormatting sqref="B404:B408">
    <cfRule type="expression" dxfId="11" priority="11">
      <formula>$E$584="Nej"</formula>
    </cfRule>
  </conditionalFormatting>
  <conditionalFormatting sqref="B412:B415">
    <cfRule type="expression" dxfId="10" priority="10">
      <formula>$E$595="Nej"</formula>
    </cfRule>
  </conditionalFormatting>
  <conditionalFormatting sqref="B419:B422">
    <cfRule type="expression" dxfId="9" priority="9">
      <formula>$E$605="Nej"</formula>
    </cfRule>
  </conditionalFormatting>
  <conditionalFormatting sqref="C404:C408">
    <cfRule type="expression" dxfId="8" priority="8">
      <formula>$E$584="Nej"</formula>
    </cfRule>
  </conditionalFormatting>
  <conditionalFormatting sqref="C412:C415">
    <cfRule type="expression" dxfId="7" priority="7">
      <formula>$E$595="Nej"</formula>
    </cfRule>
  </conditionalFormatting>
  <conditionalFormatting sqref="C419:C422">
    <cfRule type="expression" dxfId="6" priority="6">
      <formula>$E$605="Nej"</formula>
    </cfRule>
  </conditionalFormatting>
  <dataValidations count="8">
    <dataValidation type="list" allowBlank="1" showInputMessage="1" showErrorMessage="1" sqref="A1" xr:uid="{4F01C580-D837-418A-B1D7-1492A344262C}">
      <formula1>$A$1:$A$41</formula1>
    </dataValidation>
    <dataValidation type="custom" allowBlank="1" showInputMessage="1" showErrorMessage="1" sqref="J40" xr:uid="{E0D72930-7F1E-44DE-837E-212BF488A4F7}">
      <formula1>Er_der_kælder</formula1>
    </dataValidation>
    <dataValidation type="list" allowBlank="1" showInputMessage="1" showErrorMessage="1" sqref="J41" xr:uid="{DFFC26E8-C8A4-4544-BBDF-09D9527C9443}">
      <formula1>$A$94:$A$99</formula1>
    </dataValidation>
    <dataValidation type="list" allowBlank="1" showInputMessage="1" showErrorMessage="1" sqref="H33:H34 F334" xr:uid="{B5B3B6C2-837E-4D32-BE1B-1B5D5E359543}">
      <formula1>Ja_Nej_ddown</formula1>
    </dataValidation>
    <dataValidation type="list" allowBlank="1" showInputMessage="1" showErrorMessage="1" sqref="J33 J35" xr:uid="{C2D7B3E0-8DEF-48C6-906F-9F792D1F2745}">
      <formula1>$A$93:$A$99</formula1>
    </dataValidation>
    <dataValidation type="list" allowBlank="1" showInputMessage="1" showErrorMessage="1" sqref="J37" xr:uid="{04272A90-3A0F-45E7-8097-E03AA2D4A2C7}">
      <formula1>$A$94:$A$100</formula1>
    </dataValidation>
    <dataValidation type="list" allowBlank="1" showInputMessage="1" showErrorMessage="1" sqref="J39" xr:uid="{C10B9925-FC7B-4056-8E86-1A6C41908A73}">
      <formula1>Benyt_Standard_ddown</formula1>
    </dataValidation>
    <dataValidation type="list" allowBlank="1" showInputMessage="1" showErrorMessage="1" sqref="B426:G426" xr:uid="{49289C8A-B1B0-4342-975B-658CF8660CAD}">
      <formula1>Fundament_ddown</formula1>
    </dataValidation>
  </dataValidations>
  <hyperlinks>
    <hyperlink ref="F107" r:id="rId1" xr:uid="{40C9B203-9A49-4710-92EF-0B992CB20ECF}"/>
    <hyperlink ref="F115" r:id="rId2" xr:uid="{2BB0DACC-FA10-4CAB-9DFA-49DC4C0C0954}"/>
    <hyperlink ref="F350" r:id="rId3" xr:uid="{26F54C85-DD1C-4F4C-9C73-1FAE39F88460}"/>
    <hyperlink ref="F216" r:id="rId4" xr:uid="{97C7D2EA-F4B0-4CE4-A67E-7B5DFEDBB962}"/>
    <hyperlink ref="F234" r:id="rId5" xr:uid="{26FB5ED2-5FE1-4FCD-8AA4-448644C72EC9}"/>
    <hyperlink ref="F232" r:id="rId6" xr:uid="{0E098024-2245-4D34-8BBB-6A05DAC65BBF}"/>
    <hyperlink ref="F219" r:id="rId7" xr:uid="{592685C1-6784-4A7F-9A87-17BD8C6432DC}"/>
    <hyperlink ref="F196" r:id="rId8" xr:uid="{CB27FAF9-B379-48CE-B4D3-3E5BC299DE3C}"/>
    <hyperlink ref="F197" r:id="rId9" xr:uid="{02431CD0-9F0F-4A9F-8C7E-C09AA45118AA}"/>
    <hyperlink ref="F188" r:id="rId10" xr:uid="{310F218B-A3C5-4F4F-BE24-41E3EDB06DE4}"/>
    <hyperlink ref="F126" r:id="rId11" xr:uid="{AE78429F-5DD6-4C1E-88A0-657A956979EF}"/>
    <hyperlink ref="F124" r:id="rId12" xr:uid="{394422F8-CE1A-46D9-A89F-7912D32993B8}"/>
    <hyperlink ref="G141" r:id="rId13" xr:uid="{9BC3212A-2FCA-48DD-887E-3EAF5ECFFCFA}"/>
    <hyperlink ref="G139" r:id="rId14" xr:uid="{D3D2BB2D-2C79-4878-B17E-9B436EE3EB2E}"/>
    <hyperlink ref="G140" r:id="rId15" xr:uid="{ACE967B5-70B4-4A2C-BE64-E00A62C97E50}"/>
    <hyperlink ref="G151" r:id="rId16" xr:uid="{34271EBA-5080-4AB7-A304-0335827FA3D2}"/>
    <hyperlink ref="F136" r:id="rId17" xr:uid="{C3EE1EE5-8B83-414F-90ED-939C072B648D}"/>
    <hyperlink ref="F144" r:id="rId18" xr:uid="{878F1F74-D930-4AB6-A1ED-1710E783C1D5}"/>
    <hyperlink ref="F138" r:id="rId19" xr:uid="{C47D8B2D-2AF5-4E8A-B56A-CA105013EC60}"/>
    <hyperlink ref="F142" r:id="rId20" xr:uid="{A8A0F613-FDBF-40AF-8604-00D62D81A3A6}"/>
    <hyperlink ref="G164" r:id="rId21" xr:uid="{501E6FF2-846E-408F-A564-899E2FFBC85D}"/>
    <hyperlink ref="G162" r:id="rId22" xr:uid="{87533A28-9AB1-4D1D-8C85-ED7D89C0E97E}"/>
    <hyperlink ref="G163" r:id="rId23" xr:uid="{A0E5C421-1D12-411B-9E21-83008850E53A}"/>
    <hyperlink ref="G174" r:id="rId24" xr:uid="{2A13B986-FF47-46D1-88FD-E7CEC8AF4DCE}"/>
    <hyperlink ref="F159" r:id="rId25" xr:uid="{39249B45-2D11-438D-B53D-BDA1CB9924E7}"/>
    <hyperlink ref="F167" r:id="rId26" xr:uid="{A68443FD-1082-4073-9111-AAF3702E1310}"/>
    <hyperlink ref="F161" r:id="rId27" xr:uid="{61BBC718-08E0-47B1-9270-662A8363F8B3}"/>
    <hyperlink ref="F165" r:id="rId28" xr:uid="{3C4A78B2-C56B-4532-B95A-D265BF509872}"/>
    <hyperlink ref="F111" r:id="rId29" xr:uid="{C3BD5BF5-6450-4CE2-A162-0737C8FD2322}"/>
    <hyperlink ref="F290" r:id="rId30" xr:uid="{1D0C8DB9-75BA-40D8-93FC-B4324F06EC75}"/>
  </hyperlinks>
  <pageMargins left="0.7" right="0.7" top="0.75" bottom="0.75" header="0.3" footer="0.3"/>
  <tableParts count="37">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s>
  <extLst>
    <ext xmlns:x14="http://schemas.microsoft.com/office/spreadsheetml/2009/9/main" uri="{CCE6A557-97BC-4b89-ADB6-D9C93CAAB3DF}">
      <x14:dataValidations xmlns:xm="http://schemas.microsoft.com/office/excel/2006/main" count="16">
        <x14:dataValidation type="list" allowBlank="1" showInputMessage="1" showErrorMessage="1" xr:uid="{9D919081-2ED9-4F08-970E-9BA66AFA8A92}">
          <x14:formula1>
            <xm:f>'LCA data'!$W$168:$W$175</xm:f>
          </x14:formula1>
          <xm:sqref>F129</xm:sqref>
        </x14:dataValidation>
        <x14:dataValidation type="list" allowBlank="1" showInputMessage="1" showErrorMessage="1" xr:uid="{00A5E3D1-40FA-4BCB-8EA9-A4AF7C3E9B09}">
          <x14:formula1>
            <xm:f>'LCA data'!$W$8:$W$24</xm:f>
          </x14:formula1>
          <xm:sqref>G183 B368:G368 B404:C404</xm:sqref>
        </x14:dataValidation>
        <x14:dataValidation type="list" allowBlank="1" showInputMessage="1" showErrorMessage="1" xr:uid="{C5AF1674-EFAB-4664-99DD-15DE619EDC4E}">
          <x14:formula1>
            <xm:f>'LCA data'!$W$25:$W$31</xm:f>
          </x14:formula1>
          <xm:sqref>B405:C405 B369:G369</xm:sqref>
        </x14:dataValidation>
        <x14:dataValidation type="list" allowBlank="1" showInputMessage="1" showErrorMessage="1" xr:uid="{05C8B1E0-3B22-4D3B-B2C8-9B7D2116C95F}">
          <x14:formula1>
            <xm:f>'LCA data'!$W$52:$W$64</xm:f>
          </x14:formula1>
          <xm:sqref>B407:C407 B371:G371</xm:sqref>
        </x14:dataValidation>
        <x14:dataValidation type="list" allowBlank="1" showInputMessage="1" showErrorMessage="1" xr:uid="{BE540CE8-F111-4E45-ABBC-0F7004E407BE}">
          <x14:formula1>
            <xm:f>'LCA data'!$W$78:$W$92</xm:f>
          </x14:formula1>
          <xm:sqref>B376:G376</xm:sqref>
        </x14:dataValidation>
        <x14:dataValidation type="list" allowBlank="1" showInputMessage="1" showErrorMessage="1" xr:uid="{A73FACF7-F79F-472B-A0E2-C62B33478E3B}">
          <x14:formula1>
            <xm:f>'LCA data'!$W$94:$W$104</xm:f>
          </x14:formula1>
          <xm:sqref>B378:G378</xm:sqref>
        </x14:dataValidation>
        <x14:dataValidation type="list" allowBlank="1" showInputMessage="1" showErrorMessage="1" xr:uid="{26669296-CAF8-458D-9FBA-9412EBC9F8C1}">
          <x14:formula1>
            <xm:f>'LCA data'!$W$106:$W$118</xm:f>
          </x14:formula1>
          <xm:sqref>B422:C422 B379:G379 B400:G400</xm:sqref>
        </x14:dataValidation>
        <x14:dataValidation type="list" allowBlank="1" showInputMessage="1" showErrorMessage="1" xr:uid="{A5292C2F-78F7-4AE4-AA88-11DB3E726D49}">
          <x14:formula1>
            <xm:f>'LCA data'!$W$130:$W$137</xm:f>
          </x14:formula1>
          <xm:sqref>B386:G386 E346 E348:E351</xm:sqref>
        </x14:dataValidation>
        <x14:dataValidation type="list" allowBlank="1" showInputMessage="1" showErrorMessage="1" xr:uid="{70C15DBE-61CC-4334-9222-A9D4924A7E9E}">
          <x14:formula1>
            <xm:f>'LCA data'!$W$66:$W$76</xm:f>
          </x14:formula1>
          <xm:sqref>B372:G372 B415:C415 B412:C412 B408:C408 B393:G393 B390:G390</xm:sqref>
        </x14:dataValidation>
        <x14:dataValidation type="list" allowBlank="1" showInputMessage="1" showErrorMessage="1" xr:uid="{663A0919-2303-4FFB-8344-13BB943125EB}">
          <x14:formula1>
            <xm:f>'LCA data'!$W$150:$W$166</xm:f>
          </x14:formula1>
          <xm:sqref>B383:G383 B419:C419 B397:G397</xm:sqref>
        </x14:dataValidation>
        <x14:dataValidation type="list" allowBlank="1" showInputMessage="1" showErrorMessage="1" xr:uid="{A081BF3D-82C8-4260-B858-B478FEF44038}">
          <x14:formula1>
            <xm:f>'LCA data'!$W$120:$W$128</xm:f>
          </x14:formula1>
          <xm:sqref>B385:G385</xm:sqref>
        </x14:dataValidation>
        <x14:dataValidation type="list" allowBlank="1" showInputMessage="1" showErrorMessage="1" xr:uid="{539FA12C-3B04-4311-AE9C-ED21FE7A7C96}">
          <x14:formula1>
            <xm:f>'LCA data'!$W$201:$W$214</xm:f>
          </x14:formula1>
          <xm:sqref>B392:G392 B414:C414</xm:sqref>
        </x14:dataValidation>
        <x14:dataValidation type="list" allowBlank="1" showInputMessage="1" showErrorMessage="1" xr:uid="{BEE86BC2-0100-466E-80B0-B0A8857AB087}">
          <x14:formula1>
            <xm:f>'LCA data'!$W$139:$W$148</xm:f>
          </x14:formula1>
          <xm:sqref>B399:G399 B421:C421</xm:sqref>
        </x14:dataValidation>
        <x14:dataValidation type="list" allowBlank="1" showInputMessage="1" showErrorMessage="1" xr:uid="{B370ADB6-AF05-4646-AEC9-84E0B0262A4C}">
          <x14:formula1>
            <xm:f>'LCA data'!$B$241:$B$244</xm:f>
          </x14:formula1>
          <xm:sqref>D57:D63</xm:sqref>
        </x14:dataValidation>
        <x14:dataValidation type="list" allowBlank="1" showInputMessage="1" showErrorMessage="1" xr:uid="{936F4186-776D-491A-B75C-99A42217121A}">
          <x14:formula1>
            <xm:f>'LCA data'!$W$33:$W$51</xm:f>
          </x14:formula1>
          <xm:sqref>B370:G370 B377:G377 B391:G391 B406:C406 B413:C413</xm:sqref>
        </x14:dataValidation>
        <x14:dataValidation type="list" allowBlank="1" showInputMessage="1" showErrorMessage="1" xr:uid="{45848B7B-6393-458E-86A6-B6F7FF0BF2FF}">
          <x14:formula1>
            <xm:f>'LCA data'!$W$34:$W$52</xm:f>
          </x14:formula1>
          <xm:sqref>B384:G384 B398:G398 B420:C420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CCB9D-E3E7-43EB-8378-0A841834B0BA}">
  <sheetPr codeName="Ark10">
    <tabColor theme="4" tint="0.59999389629810485"/>
    <pageSetUpPr autoPageBreaks="0"/>
  </sheetPr>
  <dimension ref="B2:AQ270"/>
  <sheetViews>
    <sheetView zoomScale="70" zoomScaleNormal="70" workbookViewId="0">
      <pane ySplit="7" topLeftCell="A182" activePane="bottomLeft" state="frozen"/>
      <selection activeCell="B1" sqref="B1"/>
      <selection pane="bottomLeft" activeCell="C259" sqref="C259"/>
    </sheetView>
  </sheetViews>
  <sheetFormatPr defaultColWidth="8.54296875" defaultRowHeight="14.5" x14ac:dyDescent="0.35"/>
  <cols>
    <col min="1" max="1" width="6" style="256" customWidth="1"/>
    <col min="2" max="2" width="48.453125" style="256" bestFit="1" customWidth="1"/>
    <col min="3" max="3" width="8.54296875" style="256" bestFit="1" customWidth="1"/>
    <col min="4" max="10" width="13.453125" style="256" bestFit="1" customWidth="1"/>
    <col min="11" max="11" width="10.26953125" style="256" customWidth="1"/>
    <col min="12" max="12" width="38.54296875" style="256" customWidth="1"/>
    <col min="13" max="13" width="33.08984375" style="256" customWidth="1"/>
    <col min="14" max="14" width="3.453125" style="256" customWidth="1"/>
    <col min="15" max="21" width="19.453125" style="256" hidden="1" customWidth="1"/>
    <col min="22" max="22" width="4.54296875" style="256" customWidth="1"/>
    <col min="23" max="23" width="32.453125" style="256" customWidth="1"/>
    <col min="24" max="24" width="12.26953125" style="256" customWidth="1"/>
    <col min="25" max="25" width="12" style="256" bestFit="1" customWidth="1"/>
    <col min="26" max="26" width="21.54296875" style="256" bestFit="1" customWidth="1"/>
    <col min="27" max="27" width="12.81640625" style="256" bestFit="1" customWidth="1"/>
    <col min="28" max="28" width="10.453125" style="256" customWidth="1"/>
    <col min="29" max="16384" width="8.54296875" style="256"/>
  </cols>
  <sheetData>
    <row r="2" spans="2:29" ht="33.5" x14ac:dyDescent="0.75">
      <c r="B2" s="253" t="s">
        <v>256</v>
      </c>
      <c r="C2" s="254"/>
      <c r="D2" s="254"/>
      <c r="E2" s="254"/>
      <c r="F2" s="254"/>
      <c r="G2" s="254"/>
      <c r="H2" s="254"/>
      <c r="I2" s="254"/>
      <c r="J2" s="254"/>
      <c r="K2" s="254"/>
      <c r="L2" s="254"/>
      <c r="M2" s="255"/>
      <c r="N2" s="255"/>
      <c r="O2" s="255"/>
      <c r="P2" s="255"/>
      <c r="Q2" s="255"/>
      <c r="R2" s="255"/>
      <c r="S2" s="255"/>
      <c r="T2" s="255"/>
      <c r="U2" s="255"/>
      <c r="V2" s="255"/>
      <c r="W2" s="255"/>
      <c r="X2" s="255"/>
      <c r="Y2" s="255"/>
      <c r="Z2" s="255"/>
      <c r="AA2" s="255"/>
      <c r="AB2" s="255"/>
    </row>
    <row r="3" spans="2:29" ht="33.5" x14ac:dyDescent="0.75">
      <c r="B3" s="257"/>
      <c r="C3" s="258"/>
      <c r="D3" s="258"/>
      <c r="E3" s="258"/>
      <c r="F3" s="258"/>
      <c r="G3" s="258"/>
      <c r="H3" s="258"/>
      <c r="I3" s="258"/>
      <c r="J3" s="258"/>
      <c r="K3" s="258"/>
      <c r="L3" s="258"/>
    </row>
    <row r="4" spans="2:29" ht="21" x14ac:dyDescent="0.5">
      <c r="B4" s="259"/>
      <c r="C4" s="258"/>
      <c r="D4" s="258"/>
      <c r="E4" s="258"/>
      <c r="F4" s="258"/>
      <c r="G4" s="258"/>
      <c r="H4" s="258"/>
      <c r="I4" s="258"/>
      <c r="J4" s="258"/>
      <c r="K4" s="258"/>
      <c r="L4" s="258"/>
    </row>
    <row r="5" spans="2:29" x14ac:dyDescent="0.35">
      <c r="Y5" s="538">
        <v>24</v>
      </c>
      <c r="Z5" s="538">
        <v>25</v>
      </c>
      <c r="AA5" s="538">
        <v>26</v>
      </c>
      <c r="AB5" s="538"/>
      <c r="AC5" s="538"/>
    </row>
    <row r="6" spans="2:29" x14ac:dyDescent="0.35">
      <c r="B6" s="260"/>
      <c r="C6" s="261" t="s">
        <v>257</v>
      </c>
      <c r="D6" s="261" t="s">
        <v>258</v>
      </c>
      <c r="E6" s="261" t="s">
        <v>259</v>
      </c>
      <c r="F6" s="261" t="s">
        <v>260</v>
      </c>
      <c r="G6" s="261" t="s">
        <v>261</v>
      </c>
      <c r="H6" s="261" t="s">
        <v>262</v>
      </c>
      <c r="I6" s="261" t="s">
        <v>85</v>
      </c>
      <c r="J6" s="261" t="s">
        <v>263</v>
      </c>
      <c r="K6" s="261" t="s">
        <v>264</v>
      </c>
      <c r="L6" s="262" t="s">
        <v>265</v>
      </c>
      <c r="M6" s="263" t="s">
        <v>993</v>
      </c>
      <c r="N6" s="260"/>
      <c r="O6" s="261" t="s">
        <v>258</v>
      </c>
      <c r="P6" s="261" t="s">
        <v>259</v>
      </c>
      <c r="Q6" s="261" t="s">
        <v>260</v>
      </c>
      <c r="R6" s="261" t="s">
        <v>261</v>
      </c>
      <c r="S6" s="261" t="s">
        <v>262</v>
      </c>
      <c r="T6" s="261" t="s">
        <v>85</v>
      </c>
      <c r="U6" s="261" t="s">
        <v>263</v>
      </c>
      <c r="V6" s="260"/>
      <c r="W6" s="260"/>
      <c r="X6" s="260"/>
      <c r="Y6" s="261" t="s">
        <v>839</v>
      </c>
      <c r="Z6" s="261" t="s">
        <v>841</v>
      </c>
      <c r="AA6" s="261" t="s">
        <v>850</v>
      </c>
      <c r="AB6" s="541"/>
    </row>
    <row r="7" spans="2:29" ht="29" x14ac:dyDescent="0.35">
      <c r="B7" s="260"/>
      <c r="C7" s="261"/>
      <c r="D7" s="264" t="s">
        <v>266</v>
      </c>
      <c r="E7" s="264" t="s">
        <v>266</v>
      </c>
      <c r="F7" s="264" t="s">
        <v>266</v>
      </c>
      <c r="G7" s="264" t="s">
        <v>266</v>
      </c>
      <c r="H7" s="264" t="s">
        <v>266</v>
      </c>
      <c r="I7" s="264" t="s">
        <v>266</v>
      </c>
      <c r="J7" s="264" t="s">
        <v>266</v>
      </c>
      <c r="K7" s="265" t="s">
        <v>267</v>
      </c>
      <c r="L7" s="265" t="s">
        <v>136</v>
      </c>
      <c r="M7" s="263"/>
      <c r="N7" s="260"/>
      <c r="O7" s="266" t="s">
        <v>268</v>
      </c>
      <c r="P7" s="266" t="s">
        <v>268</v>
      </c>
      <c r="Q7" s="266" t="s">
        <v>268</v>
      </c>
      <c r="R7" s="266" t="s">
        <v>268</v>
      </c>
      <c r="S7" s="266" t="s">
        <v>268</v>
      </c>
      <c r="T7" s="266" t="s">
        <v>268</v>
      </c>
      <c r="U7" s="266" t="s">
        <v>268</v>
      </c>
      <c r="V7" s="260"/>
      <c r="W7" s="260"/>
      <c r="X7" s="260"/>
      <c r="Y7" s="265" t="s">
        <v>840</v>
      </c>
      <c r="Z7" s="265"/>
      <c r="AA7" s="265" t="s">
        <v>847</v>
      </c>
      <c r="AB7" s="541"/>
    </row>
    <row r="8" spans="2:29" ht="25.4" customHeight="1" x14ac:dyDescent="0.55000000000000004">
      <c r="B8" s="267" t="s">
        <v>269</v>
      </c>
      <c r="C8" s="268">
        <v>200</v>
      </c>
      <c r="D8" s="269"/>
      <c r="E8" s="269"/>
      <c r="F8" s="269"/>
      <c r="G8" s="269"/>
      <c r="H8" s="269"/>
      <c r="I8" s="269"/>
      <c r="J8" s="269"/>
      <c r="K8" s="270"/>
      <c r="L8" s="270"/>
      <c r="M8" s="271"/>
      <c r="N8" s="272"/>
      <c r="O8" s="273"/>
      <c r="P8" s="273"/>
      <c r="Q8" s="273"/>
      <c r="R8" s="273"/>
      <c r="S8" s="273"/>
      <c r="T8" s="273"/>
      <c r="U8" s="273"/>
      <c r="V8" s="272"/>
      <c r="W8" s="274" t="s">
        <v>103</v>
      </c>
      <c r="X8" s="275"/>
      <c r="Y8" s="277"/>
      <c r="Z8" s="272"/>
      <c r="AA8" s="277"/>
      <c r="AB8" s="274"/>
      <c r="AC8" s="295"/>
    </row>
    <row r="9" spans="2:29" x14ac:dyDescent="0.35">
      <c r="B9" s="272" t="str">
        <f t="shared" ref="B9:B24" si="0">$B$8&amp;"_"&amp;W9</f>
        <v>Udvendig beklædning_Tegl</v>
      </c>
      <c r="C9" s="276">
        <v>80</v>
      </c>
      <c r="D9" s="277">
        <v>56.786687000000001</v>
      </c>
      <c r="E9" s="277">
        <v>0</v>
      </c>
      <c r="F9" s="277">
        <v>0</v>
      </c>
      <c r="G9" s="277">
        <v>0.937697</v>
      </c>
      <c r="H9" s="277">
        <v>0.90851835000000003</v>
      </c>
      <c r="I9" s="277">
        <f>D9+G9+H9</f>
        <v>58.632902350000002</v>
      </c>
      <c r="J9" s="277">
        <v>-0.42096544499999999</v>
      </c>
      <c r="K9" s="276" t="s">
        <v>270</v>
      </c>
      <c r="L9" s="276">
        <v>71</v>
      </c>
      <c r="M9" s="272"/>
      <c r="N9" s="272"/>
      <c r="O9" s="277">
        <f t="shared" ref="O9:O24" si="1">D9/L9</f>
        <v>0.79981249295774648</v>
      </c>
      <c r="P9" s="277">
        <f t="shared" ref="P9:P24" si="2">E9/L9</f>
        <v>0</v>
      </c>
      <c r="Q9" s="277">
        <f t="shared" ref="Q9:Q24" si="3">F9/L9</f>
        <v>0</v>
      </c>
      <c r="R9" s="277">
        <f t="shared" ref="R9:R24" si="4">G9/L9</f>
        <v>1.3207E-2</v>
      </c>
      <c r="S9" s="277">
        <f t="shared" ref="S9:S24" si="5">H9/L9</f>
        <v>1.279603309859155E-2</v>
      </c>
      <c r="T9" s="277">
        <f t="shared" ref="T9:T24" si="6">I9/L9</f>
        <v>0.82581552605633801</v>
      </c>
      <c r="U9" s="277">
        <f t="shared" ref="U9:U24" si="7">J9/L9</f>
        <v>-5.9290907746478872E-3</v>
      </c>
      <c r="V9" s="272"/>
      <c r="W9" s="272" t="s">
        <v>271</v>
      </c>
      <c r="X9" s="277">
        <f>T9</f>
        <v>0.82581552605633801</v>
      </c>
      <c r="Y9" s="277"/>
      <c r="Z9" s="272"/>
      <c r="AA9" s="277"/>
      <c r="AB9" s="274"/>
      <c r="AC9" s="540">
        <f>I9</f>
        <v>58.632902350000002</v>
      </c>
    </row>
    <row r="10" spans="2:29" x14ac:dyDescent="0.35">
      <c r="B10" s="272" t="str">
        <f t="shared" si="0"/>
        <v>Udvendig beklædning_Tegl genbrugte</v>
      </c>
      <c r="C10" s="276">
        <v>80</v>
      </c>
      <c r="D10" s="277">
        <v>20.757155999999998</v>
      </c>
      <c r="E10" s="277">
        <v>0</v>
      </c>
      <c r="F10" s="277">
        <v>0</v>
      </c>
      <c r="G10" s="277">
        <v>0.62904599999999999</v>
      </c>
      <c r="H10" s="277">
        <v>0.93186254999999996</v>
      </c>
      <c r="I10" s="277">
        <f t="shared" ref="I10:I15" si="8">D10+G10+H10</f>
        <v>22.318064549999995</v>
      </c>
      <c r="J10" s="277">
        <v>-0.15846637499999999</v>
      </c>
      <c r="K10" s="276" t="s">
        <v>288</v>
      </c>
      <c r="L10" s="276">
        <v>108</v>
      </c>
      <c r="M10" s="335" t="s">
        <v>868</v>
      </c>
      <c r="N10" s="272"/>
      <c r="O10" s="277">
        <f t="shared" si="1"/>
        <v>0.19219588888888886</v>
      </c>
      <c r="P10" s="277">
        <f t="shared" si="2"/>
        <v>0</v>
      </c>
      <c r="Q10" s="277">
        <f t="shared" si="3"/>
        <v>0</v>
      </c>
      <c r="R10" s="277">
        <f t="shared" si="4"/>
        <v>5.8244999999999998E-3</v>
      </c>
      <c r="S10" s="277">
        <f t="shared" si="5"/>
        <v>8.6283569444444447E-3</v>
      </c>
      <c r="T10" s="277">
        <f t="shared" si="6"/>
        <v>0.20664874583333329</v>
      </c>
      <c r="U10" s="277">
        <f t="shared" si="7"/>
        <v>-1.4672812499999998E-3</v>
      </c>
      <c r="V10" s="272"/>
      <c r="W10" s="272" t="s">
        <v>272</v>
      </c>
      <c r="X10" s="277">
        <f t="shared" ref="X10:X24" si="9">T10</f>
        <v>0.20664874583333329</v>
      </c>
      <c r="Y10" s="277"/>
      <c r="Z10" s="272"/>
      <c r="AA10" s="277"/>
      <c r="AB10" s="274"/>
      <c r="AC10" s="540">
        <f t="shared" ref="AC10:AC24" si="10">I10</f>
        <v>22.318064549999995</v>
      </c>
    </row>
    <row r="11" spans="2:29" x14ac:dyDescent="0.35">
      <c r="B11" s="272" t="str">
        <f t="shared" si="0"/>
        <v>Udvendig beklædning_Betonelement</v>
      </c>
      <c r="C11" s="276">
        <v>80</v>
      </c>
      <c r="D11" s="277">
        <v>23.0884395</v>
      </c>
      <c r="E11" s="277">
        <v>0</v>
      </c>
      <c r="F11" s="277">
        <v>0</v>
      </c>
      <c r="G11" s="277">
        <v>0.47039999999999998</v>
      </c>
      <c r="H11" s="277">
        <v>0.35124214300000012</v>
      </c>
      <c r="I11" s="277">
        <f>D11+G11+H11</f>
        <v>23.910081643000002</v>
      </c>
      <c r="J11" s="277">
        <v>-2.2477</v>
      </c>
      <c r="K11" s="276" t="s">
        <v>270</v>
      </c>
      <c r="L11" s="276">
        <v>70</v>
      </c>
      <c r="M11" s="272"/>
      <c r="N11" s="272"/>
      <c r="O11" s="277">
        <f t="shared" si="1"/>
        <v>0.32983485000000001</v>
      </c>
      <c r="P11" s="277">
        <f t="shared" si="2"/>
        <v>0</v>
      </c>
      <c r="Q11" s="277">
        <f t="shared" si="3"/>
        <v>0</v>
      </c>
      <c r="R11" s="277">
        <f t="shared" si="4"/>
        <v>6.7199999999999994E-3</v>
      </c>
      <c r="S11" s="277">
        <f t="shared" si="5"/>
        <v>5.0177449000000018E-3</v>
      </c>
      <c r="T11" s="277">
        <f t="shared" si="6"/>
        <v>0.34157259490000003</v>
      </c>
      <c r="U11" s="277">
        <f t="shared" si="7"/>
        <v>-3.211E-2</v>
      </c>
      <c r="V11" s="272"/>
      <c r="W11" s="272" t="s">
        <v>101</v>
      </c>
      <c r="X11" s="277">
        <f t="shared" si="9"/>
        <v>0.34157259490000003</v>
      </c>
      <c r="Y11" s="277"/>
      <c r="Z11" s="272"/>
      <c r="AA11" s="277"/>
      <c r="AB11" s="274"/>
      <c r="AC11" s="540">
        <f t="shared" si="10"/>
        <v>23.910081643000002</v>
      </c>
    </row>
    <row r="12" spans="2:29" x14ac:dyDescent="0.35">
      <c r="B12" s="272" t="str">
        <f t="shared" si="0"/>
        <v>Udvendig beklædning_Fibercement</v>
      </c>
      <c r="C12" s="276">
        <v>60</v>
      </c>
      <c r="D12" s="277">
        <v>6.9930000000000003</v>
      </c>
      <c r="E12" s="277">
        <v>0</v>
      </c>
      <c r="F12" s="277">
        <v>0</v>
      </c>
      <c r="G12" s="277">
        <v>0</v>
      </c>
      <c r="H12" s="277">
        <v>0.195072</v>
      </c>
      <c r="I12" s="277">
        <f t="shared" si="8"/>
        <v>7.188072</v>
      </c>
      <c r="J12" s="277">
        <v>0</v>
      </c>
      <c r="K12" s="276" t="s">
        <v>270</v>
      </c>
      <c r="L12" s="276">
        <v>8</v>
      </c>
      <c r="M12" s="278"/>
      <c r="N12" s="272"/>
      <c r="O12" s="277">
        <f t="shared" si="1"/>
        <v>0.87412500000000004</v>
      </c>
      <c r="P12" s="277">
        <f t="shared" si="2"/>
        <v>0</v>
      </c>
      <c r="Q12" s="277">
        <f t="shared" si="3"/>
        <v>0</v>
      </c>
      <c r="R12" s="277">
        <f t="shared" si="4"/>
        <v>0</v>
      </c>
      <c r="S12" s="277">
        <f t="shared" si="5"/>
        <v>2.4383999999999999E-2</v>
      </c>
      <c r="T12" s="277">
        <f t="shared" si="6"/>
        <v>0.898509</v>
      </c>
      <c r="U12" s="277">
        <f t="shared" si="7"/>
        <v>0</v>
      </c>
      <c r="V12" s="272"/>
      <c r="W12" s="272" t="s">
        <v>273</v>
      </c>
      <c r="X12" s="277">
        <f t="shared" si="9"/>
        <v>0.898509</v>
      </c>
      <c r="Y12" s="277"/>
      <c r="Z12" s="272"/>
      <c r="AA12" s="277"/>
      <c r="AB12" s="274"/>
      <c r="AC12" s="540">
        <f t="shared" si="10"/>
        <v>7.188072</v>
      </c>
    </row>
    <row r="13" spans="2:29" x14ac:dyDescent="0.35">
      <c r="B13" s="272" t="str">
        <f t="shared" si="0"/>
        <v>Udvendig beklædning_Zink</v>
      </c>
      <c r="C13" s="276">
        <v>60</v>
      </c>
      <c r="D13" s="277">
        <v>12.038399999999999</v>
      </c>
      <c r="E13" s="277">
        <v>0</v>
      </c>
      <c r="F13" s="277">
        <v>0</v>
      </c>
      <c r="G13" s="277">
        <v>0</v>
      </c>
      <c r="H13" s="277">
        <v>0</v>
      </c>
      <c r="I13" s="277">
        <f t="shared" si="8"/>
        <v>12.038399999999999</v>
      </c>
      <c r="J13" s="277">
        <v>-10.429171200000001</v>
      </c>
      <c r="K13" s="276" t="s">
        <v>270</v>
      </c>
      <c r="L13" s="276">
        <v>1</v>
      </c>
      <c r="M13" s="278"/>
      <c r="N13" s="272"/>
      <c r="O13" s="277">
        <f t="shared" si="1"/>
        <v>12.038399999999999</v>
      </c>
      <c r="P13" s="277">
        <f t="shared" si="2"/>
        <v>0</v>
      </c>
      <c r="Q13" s="277">
        <f t="shared" si="3"/>
        <v>0</v>
      </c>
      <c r="R13" s="277">
        <f t="shared" si="4"/>
        <v>0</v>
      </c>
      <c r="S13" s="277">
        <f t="shared" si="5"/>
        <v>0</v>
      </c>
      <c r="T13" s="277">
        <f t="shared" si="6"/>
        <v>12.038399999999999</v>
      </c>
      <c r="U13" s="277">
        <f t="shared" si="7"/>
        <v>-10.429171200000001</v>
      </c>
      <c r="V13" s="272"/>
      <c r="W13" s="272" t="s">
        <v>274</v>
      </c>
      <c r="X13" s="277">
        <f t="shared" si="9"/>
        <v>12.038399999999999</v>
      </c>
      <c r="Y13" s="277"/>
      <c r="Z13" s="272"/>
      <c r="AA13" s="277"/>
      <c r="AB13" s="274"/>
      <c r="AC13" s="540">
        <f t="shared" si="10"/>
        <v>12.038399999999999</v>
      </c>
    </row>
    <row r="14" spans="2:29" x14ac:dyDescent="0.35">
      <c r="B14" s="272" t="str">
        <f t="shared" si="0"/>
        <v>Udvendig beklædning_Aluminium</v>
      </c>
      <c r="C14" s="276">
        <v>60</v>
      </c>
      <c r="D14" s="277">
        <v>34.365900000000003</v>
      </c>
      <c r="E14" s="277">
        <v>0</v>
      </c>
      <c r="F14" s="277">
        <v>0</v>
      </c>
      <c r="G14" s="277">
        <v>0</v>
      </c>
      <c r="H14" s="277">
        <v>0.10537953899999999</v>
      </c>
      <c r="I14" s="277">
        <f t="shared" si="8"/>
        <v>34.471279539000001</v>
      </c>
      <c r="J14" s="277">
        <v>-22.323005999999999</v>
      </c>
      <c r="K14" s="276" t="s">
        <v>270</v>
      </c>
      <c r="L14" s="276">
        <v>1</v>
      </c>
      <c r="M14" s="279"/>
      <c r="N14" s="272"/>
      <c r="O14" s="277">
        <f t="shared" si="1"/>
        <v>34.365900000000003</v>
      </c>
      <c r="P14" s="277">
        <f t="shared" si="2"/>
        <v>0</v>
      </c>
      <c r="Q14" s="277">
        <f t="shared" si="3"/>
        <v>0</v>
      </c>
      <c r="R14" s="277">
        <f t="shared" si="4"/>
        <v>0</v>
      </c>
      <c r="S14" s="277">
        <f t="shared" si="5"/>
        <v>0.10537953899999999</v>
      </c>
      <c r="T14" s="277">
        <f t="shared" si="6"/>
        <v>34.471279539000001</v>
      </c>
      <c r="U14" s="277">
        <f t="shared" si="7"/>
        <v>-22.323005999999999</v>
      </c>
      <c r="V14" s="272"/>
      <c r="W14" s="272" t="s">
        <v>275</v>
      </c>
      <c r="X14" s="277">
        <f t="shared" si="9"/>
        <v>34.471279539000001</v>
      </c>
      <c r="Y14" s="277"/>
      <c r="Z14" s="272"/>
      <c r="AA14" s="277"/>
      <c r="AB14" s="274"/>
      <c r="AC14" s="540">
        <f t="shared" si="10"/>
        <v>34.471279539000001</v>
      </c>
    </row>
    <row r="15" spans="2:29" x14ac:dyDescent="0.35">
      <c r="B15" s="272" t="str">
        <f t="shared" si="0"/>
        <v xml:space="preserve">Udvendig beklædning_Træ </v>
      </c>
      <c r="C15" s="276">
        <v>50</v>
      </c>
      <c r="D15" s="277">
        <v>-18.538354999999999</v>
      </c>
      <c r="E15" s="277">
        <v>4.0736463600000006</v>
      </c>
      <c r="F15" s="277">
        <v>0</v>
      </c>
      <c r="G15" s="277">
        <v>24.94423712</v>
      </c>
      <c r="H15" s="277">
        <v>0.10353795</v>
      </c>
      <c r="I15" s="277">
        <f t="shared" si="8"/>
        <v>6.5094200700000009</v>
      </c>
      <c r="J15" s="277">
        <v>-6.9053299199999998</v>
      </c>
      <c r="K15" s="276" t="s">
        <v>270</v>
      </c>
      <c r="L15" s="276">
        <v>25</v>
      </c>
      <c r="M15" s="279"/>
      <c r="N15" s="272"/>
      <c r="O15" s="277">
        <f t="shared" si="1"/>
        <v>-0.74153419999999992</v>
      </c>
      <c r="P15" s="277">
        <f t="shared" si="2"/>
        <v>0.16294585440000003</v>
      </c>
      <c r="Q15" s="277">
        <f t="shared" si="3"/>
        <v>0</v>
      </c>
      <c r="R15" s="277">
        <f t="shared" si="4"/>
        <v>0.99776948480000005</v>
      </c>
      <c r="S15" s="277">
        <f t="shared" si="5"/>
        <v>4.1415180000000003E-3</v>
      </c>
      <c r="T15" s="277">
        <f t="shared" si="6"/>
        <v>0.26037680280000003</v>
      </c>
      <c r="U15" s="277">
        <f t="shared" si="7"/>
        <v>-0.2762131968</v>
      </c>
      <c r="V15" s="272"/>
      <c r="W15" s="272" t="s">
        <v>102</v>
      </c>
      <c r="X15" s="277">
        <f t="shared" si="9"/>
        <v>0.26037680280000003</v>
      </c>
      <c r="Y15" s="277">
        <v>13.72</v>
      </c>
      <c r="Z15" s="272" t="s">
        <v>870</v>
      </c>
      <c r="AA15" s="282">
        <f>Y15/L15</f>
        <v>0.54880000000000007</v>
      </c>
      <c r="AB15" s="274"/>
      <c r="AC15" s="540">
        <f t="shared" si="10"/>
        <v>6.5094200700000009</v>
      </c>
    </row>
    <row r="16" spans="2:29" x14ac:dyDescent="0.35">
      <c r="B16" s="272" t="str">
        <f t="shared" si="0"/>
        <v xml:space="preserve">Udvendig beklædning_Skærmtegl </v>
      </c>
      <c r="C16" s="276">
        <v>80</v>
      </c>
      <c r="D16" s="277">
        <v>17.64266666666667</v>
      </c>
      <c r="E16" s="277">
        <v>0</v>
      </c>
      <c r="F16" s="277">
        <v>0</v>
      </c>
      <c r="G16" s="277">
        <v>0.33628888888888903</v>
      </c>
      <c r="H16" s="277">
        <v>0</v>
      </c>
      <c r="I16" s="277">
        <v>17.978955555555551</v>
      </c>
      <c r="J16" s="277">
        <v>-0.102699111111111</v>
      </c>
      <c r="K16" s="276" t="s">
        <v>270</v>
      </c>
      <c r="L16" s="276">
        <v>18</v>
      </c>
      <c r="M16" s="279"/>
      <c r="N16" s="272"/>
      <c r="O16" s="277">
        <f t="shared" si="1"/>
        <v>0.98014814814814832</v>
      </c>
      <c r="P16" s="277">
        <f t="shared" si="2"/>
        <v>0</v>
      </c>
      <c r="Q16" s="277">
        <f t="shared" si="3"/>
        <v>0</v>
      </c>
      <c r="R16" s="277">
        <f t="shared" si="4"/>
        <v>1.8682716049382722E-2</v>
      </c>
      <c r="S16" s="277">
        <f t="shared" si="5"/>
        <v>0</v>
      </c>
      <c r="T16" s="277">
        <f t="shared" si="6"/>
        <v>0.99883086419753064</v>
      </c>
      <c r="U16" s="277">
        <f t="shared" si="7"/>
        <v>-5.7055061728395005E-3</v>
      </c>
      <c r="V16" s="272"/>
      <c r="W16" s="272" t="s">
        <v>276</v>
      </c>
      <c r="X16" s="277">
        <f t="shared" si="9"/>
        <v>0.99883086419753064</v>
      </c>
      <c r="Y16" s="277"/>
      <c r="Z16" s="272"/>
      <c r="AA16" s="277"/>
      <c r="AB16" s="274"/>
      <c r="AC16" s="540">
        <f t="shared" si="10"/>
        <v>17.978955555555551</v>
      </c>
    </row>
    <row r="17" spans="2:29" x14ac:dyDescent="0.35">
      <c r="B17" s="272" t="str">
        <f t="shared" si="0"/>
        <v>Udvendig beklædning_Skifer</v>
      </c>
      <c r="C17" s="276">
        <v>80</v>
      </c>
      <c r="D17" s="277">
        <v>15.038600000000001</v>
      </c>
      <c r="E17" s="277">
        <v>0</v>
      </c>
      <c r="F17" s="277">
        <v>0</v>
      </c>
      <c r="G17" s="277">
        <v>0.20177400000000001</v>
      </c>
      <c r="H17" s="277">
        <v>0</v>
      </c>
      <c r="I17" s="277">
        <f t="shared" ref="I17:I24" si="11">D17+G17+H17</f>
        <v>15.240374000000001</v>
      </c>
      <c r="J17" s="277">
        <v>-6.1619399999999998E-2</v>
      </c>
      <c r="K17" s="276" t="s">
        <v>270</v>
      </c>
      <c r="L17" s="276">
        <v>8</v>
      </c>
      <c r="M17" s="279"/>
      <c r="N17" s="272"/>
      <c r="O17" s="277">
        <f t="shared" si="1"/>
        <v>1.8798250000000001</v>
      </c>
      <c r="P17" s="277">
        <f t="shared" si="2"/>
        <v>0</v>
      </c>
      <c r="Q17" s="277">
        <f t="shared" si="3"/>
        <v>0</v>
      </c>
      <c r="R17" s="277">
        <f t="shared" si="4"/>
        <v>2.5221750000000001E-2</v>
      </c>
      <c r="S17" s="277">
        <f t="shared" si="5"/>
        <v>0</v>
      </c>
      <c r="T17" s="277">
        <f t="shared" si="6"/>
        <v>1.9050467500000001</v>
      </c>
      <c r="U17" s="277">
        <f t="shared" si="7"/>
        <v>-7.7024249999999997E-3</v>
      </c>
      <c r="V17" s="272"/>
      <c r="W17" s="272" t="s">
        <v>277</v>
      </c>
      <c r="X17" s="277">
        <f t="shared" si="9"/>
        <v>1.9050467500000001</v>
      </c>
      <c r="Y17" s="277"/>
      <c r="Z17" s="272"/>
      <c r="AA17" s="277"/>
      <c r="AB17" s="274"/>
      <c r="AC17" s="540">
        <f t="shared" si="10"/>
        <v>15.240374000000001</v>
      </c>
    </row>
    <row r="18" spans="2:29" x14ac:dyDescent="0.35">
      <c r="B18" s="272" t="str">
        <f t="shared" si="0"/>
        <v>Udvendig beklædning_Plast/trækompocit</v>
      </c>
      <c r="C18" s="276">
        <v>60</v>
      </c>
      <c r="D18" s="277">
        <v>-0.55800000000000005</v>
      </c>
      <c r="E18" s="277">
        <v>0</v>
      </c>
      <c r="F18" s="277">
        <v>0</v>
      </c>
      <c r="G18" s="277">
        <v>8.7816700000000001</v>
      </c>
      <c r="H18" s="277">
        <v>0</v>
      </c>
      <c r="I18" s="277">
        <f t="shared" si="11"/>
        <v>8.2236700000000003</v>
      </c>
      <c r="J18" s="277">
        <v>-2.7491699999999999</v>
      </c>
      <c r="K18" s="276" t="s">
        <v>270</v>
      </c>
      <c r="L18" s="276">
        <v>25</v>
      </c>
      <c r="M18" s="279"/>
      <c r="N18" s="272"/>
      <c r="O18" s="277">
        <f t="shared" si="1"/>
        <v>-2.2320000000000003E-2</v>
      </c>
      <c r="P18" s="277">
        <f t="shared" si="2"/>
        <v>0</v>
      </c>
      <c r="Q18" s="277">
        <f t="shared" si="3"/>
        <v>0</v>
      </c>
      <c r="R18" s="277">
        <f t="shared" si="4"/>
        <v>0.35126679999999999</v>
      </c>
      <c r="S18" s="277">
        <f t="shared" si="5"/>
        <v>0</v>
      </c>
      <c r="T18" s="277">
        <f t="shared" si="6"/>
        <v>0.32894679999999998</v>
      </c>
      <c r="U18" s="277">
        <f t="shared" si="7"/>
        <v>-0.10996679999999999</v>
      </c>
      <c r="V18" s="272"/>
      <c r="W18" s="272" t="s">
        <v>278</v>
      </c>
      <c r="X18" s="277">
        <f t="shared" si="9"/>
        <v>0.32894679999999998</v>
      </c>
      <c r="Y18" s="277">
        <v>7.79</v>
      </c>
      <c r="Z18" s="272" t="s">
        <v>871</v>
      </c>
      <c r="AA18" s="282">
        <f>Y18/L18</f>
        <v>0.31159999999999999</v>
      </c>
      <c r="AB18" s="274"/>
      <c r="AC18" s="540">
        <f t="shared" si="10"/>
        <v>8.2236700000000003</v>
      </c>
    </row>
    <row r="19" spans="2:29" x14ac:dyDescent="0.35">
      <c r="B19" s="272" t="str">
        <f t="shared" si="0"/>
        <v>Udvendig beklædning_Natursten</v>
      </c>
      <c r="C19" s="276">
        <v>120</v>
      </c>
      <c r="D19" s="277">
        <v>32.405700000000003</v>
      </c>
      <c r="E19" s="277">
        <v>0</v>
      </c>
      <c r="F19" s="277">
        <v>0</v>
      </c>
      <c r="G19" s="277">
        <v>0.52461100000000005</v>
      </c>
      <c r="H19" s="277">
        <v>0</v>
      </c>
      <c r="I19" s="277">
        <f t="shared" si="11"/>
        <v>32.930311000000003</v>
      </c>
      <c r="J19" s="277">
        <v>-0.16021099999999999</v>
      </c>
      <c r="K19" s="276" t="s">
        <v>270</v>
      </c>
      <c r="L19" s="276">
        <v>27</v>
      </c>
      <c r="M19" s="279"/>
      <c r="N19" s="272"/>
      <c r="O19" s="277">
        <f t="shared" si="1"/>
        <v>1.2002111111111111</v>
      </c>
      <c r="P19" s="277">
        <f t="shared" si="2"/>
        <v>0</v>
      </c>
      <c r="Q19" s="277">
        <f t="shared" si="3"/>
        <v>0</v>
      </c>
      <c r="R19" s="277">
        <f t="shared" si="4"/>
        <v>1.9430037037037037E-2</v>
      </c>
      <c r="S19" s="277">
        <f t="shared" si="5"/>
        <v>0</v>
      </c>
      <c r="T19" s="277">
        <f t="shared" si="6"/>
        <v>1.2196411481481482</v>
      </c>
      <c r="U19" s="277">
        <f t="shared" si="7"/>
        <v>-5.9337407407407403E-3</v>
      </c>
      <c r="V19" s="272"/>
      <c r="W19" s="280" t="s">
        <v>279</v>
      </c>
      <c r="X19" s="277">
        <f>T19</f>
        <v>1.2196411481481482</v>
      </c>
      <c r="Y19" s="277"/>
      <c r="Z19" s="272"/>
      <c r="AA19" s="277"/>
      <c r="AB19" s="274"/>
      <c r="AC19" s="540">
        <f t="shared" si="10"/>
        <v>32.930311000000003</v>
      </c>
    </row>
    <row r="20" spans="2:29" x14ac:dyDescent="0.35">
      <c r="B20" s="272" t="str">
        <f t="shared" si="0"/>
        <v>Udvendig beklædning_Kalksandsten</v>
      </c>
      <c r="C20" s="276">
        <v>60</v>
      </c>
      <c r="D20" s="277">
        <v>52.321128000000002</v>
      </c>
      <c r="E20" s="277">
        <v>0</v>
      </c>
      <c r="F20" s="277">
        <v>0</v>
      </c>
      <c r="G20" s="277">
        <v>1.4527728</v>
      </c>
      <c r="H20" s="277">
        <v>0.90851835000000003</v>
      </c>
      <c r="I20" s="277">
        <f t="shared" si="11"/>
        <v>54.682419150000001</v>
      </c>
      <c r="J20" s="277">
        <v>-0.60212605500000005</v>
      </c>
      <c r="K20" s="276" t="s">
        <v>270</v>
      </c>
      <c r="L20" s="276">
        <v>108</v>
      </c>
      <c r="M20" s="279"/>
      <c r="N20" s="272"/>
      <c r="O20" s="277">
        <f t="shared" si="1"/>
        <v>0.48445488888888888</v>
      </c>
      <c r="P20" s="277">
        <f t="shared" si="2"/>
        <v>0</v>
      </c>
      <c r="Q20" s="277">
        <f t="shared" si="3"/>
        <v>0</v>
      </c>
      <c r="R20" s="277">
        <f t="shared" si="4"/>
        <v>1.3451599999999999E-2</v>
      </c>
      <c r="S20" s="277">
        <f t="shared" si="5"/>
        <v>8.4122069444444447E-3</v>
      </c>
      <c r="T20" s="277">
        <f t="shared" si="6"/>
        <v>0.50631869583333333</v>
      </c>
      <c r="U20" s="277">
        <f t="shared" si="7"/>
        <v>-5.5752412500000006E-3</v>
      </c>
      <c r="V20" s="272"/>
      <c r="W20" s="280" t="s">
        <v>869</v>
      </c>
      <c r="X20" s="277">
        <f t="shared" si="9"/>
        <v>0.50631869583333333</v>
      </c>
      <c r="Y20" s="277"/>
      <c r="Z20" s="272"/>
      <c r="AA20" s="277"/>
      <c r="AB20" s="274"/>
      <c r="AC20" s="540">
        <f t="shared" si="10"/>
        <v>54.682419150000001</v>
      </c>
    </row>
    <row r="21" spans="2:29" x14ac:dyDescent="0.35">
      <c r="B21" s="272" t="str">
        <f t="shared" ref="B21" si="12">$B$8&amp;"_"&amp;W21</f>
        <v>Udvendig beklædning_Genbrugs beklædning</v>
      </c>
      <c r="C21" s="276">
        <v>50</v>
      </c>
      <c r="D21" s="277">
        <v>0</v>
      </c>
      <c r="E21" s="277">
        <v>0</v>
      </c>
      <c r="F21" s="277">
        <v>0</v>
      </c>
      <c r="G21" s="277">
        <v>0</v>
      </c>
      <c r="H21" s="277">
        <v>0</v>
      </c>
      <c r="I21" s="277">
        <f t="shared" si="11"/>
        <v>0</v>
      </c>
      <c r="J21" s="277">
        <v>0</v>
      </c>
      <c r="K21" s="276" t="s">
        <v>270</v>
      </c>
      <c r="L21" s="276">
        <v>1</v>
      </c>
      <c r="M21" s="279"/>
      <c r="N21" s="272"/>
      <c r="O21" s="277">
        <f t="shared" ref="O21" si="13">D21/L21</f>
        <v>0</v>
      </c>
      <c r="P21" s="277">
        <f t="shared" ref="P21" si="14">E21/L21</f>
        <v>0</v>
      </c>
      <c r="Q21" s="277">
        <f t="shared" ref="Q21" si="15">F21/L21</f>
        <v>0</v>
      </c>
      <c r="R21" s="277">
        <f t="shared" ref="R21" si="16">G21/L21</f>
        <v>0</v>
      </c>
      <c r="S21" s="277">
        <f t="shared" ref="S21" si="17">H21/L21</f>
        <v>0</v>
      </c>
      <c r="T21" s="277">
        <f t="shared" ref="T21" si="18">I21/L21</f>
        <v>0</v>
      </c>
      <c r="U21" s="277">
        <f t="shared" ref="U21" si="19">J21/L21</f>
        <v>0</v>
      </c>
      <c r="V21" s="272"/>
      <c r="W21" s="280" t="s">
        <v>1003</v>
      </c>
      <c r="X21" s="277">
        <f t="shared" ref="X21" si="20">T21</f>
        <v>0</v>
      </c>
      <c r="Y21" s="277"/>
      <c r="Z21" s="272"/>
      <c r="AA21" s="277"/>
      <c r="AB21" s="274"/>
      <c r="AC21" s="540"/>
    </row>
    <row r="22" spans="2:29" x14ac:dyDescent="0.35">
      <c r="B22" s="272" t="str">
        <f t="shared" ref="B22" si="21">$B$8&amp;"_"&amp;W22</f>
        <v>Udvendig beklædning_Brugerdefineret_1</v>
      </c>
      <c r="C22" s="650">
        <v>100</v>
      </c>
      <c r="D22" s="651">
        <v>0</v>
      </c>
      <c r="E22" s="651">
        <v>0</v>
      </c>
      <c r="F22" s="651">
        <v>0</v>
      </c>
      <c r="G22" s="651">
        <v>0</v>
      </c>
      <c r="H22" s="651">
        <v>0</v>
      </c>
      <c r="I22" s="651">
        <f t="shared" si="11"/>
        <v>0</v>
      </c>
      <c r="J22" s="651">
        <v>0</v>
      </c>
      <c r="K22" s="650" t="s">
        <v>288</v>
      </c>
      <c r="L22" s="650">
        <v>1</v>
      </c>
      <c r="M22" s="279"/>
      <c r="N22" s="272"/>
      <c r="O22" s="277">
        <f t="shared" ref="O22" si="22">D22/L22</f>
        <v>0</v>
      </c>
      <c r="P22" s="277">
        <f t="shared" ref="P22" si="23">E22/L22</f>
        <v>0</v>
      </c>
      <c r="Q22" s="277">
        <f t="shared" ref="Q22" si="24">F22/L22</f>
        <v>0</v>
      </c>
      <c r="R22" s="277">
        <f t="shared" ref="R22" si="25">G22/L22</f>
        <v>0</v>
      </c>
      <c r="S22" s="277">
        <f t="shared" ref="S22" si="26">H22/L22</f>
        <v>0</v>
      </c>
      <c r="T22" s="277">
        <f t="shared" ref="T22" si="27">I22/L22</f>
        <v>0</v>
      </c>
      <c r="U22" s="277">
        <f t="shared" ref="U22" si="28">J22/L22</f>
        <v>0</v>
      </c>
      <c r="V22" s="272"/>
      <c r="W22" s="653" t="s">
        <v>280</v>
      </c>
      <c r="X22" s="277">
        <f t="shared" ref="X22" si="29">T22</f>
        <v>0</v>
      </c>
      <c r="Y22" s="277"/>
      <c r="Z22" s="272"/>
      <c r="AA22" s="277"/>
      <c r="AB22" s="274"/>
      <c r="AC22" s="540">
        <f t="shared" si="10"/>
        <v>0</v>
      </c>
    </row>
    <row r="23" spans="2:29" x14ac:dyDescent="0.35">
      <c r="B23" s="272" t="str">
        <f t="shared" si="0"/>
        <v>Udvendig beklædning_Brugerdefineret_2</v>
      </c>
      <c r="C23" s="650">
        <v>100</v>
      </c>
      <c r="D23" s="651">
        <v>0</v>
      </c>
      <c r="E23" s="651">
        <v>0</v>
      </c>
      <c r="F23" s="651">
        <v>0</v>
      </c>
      <c r="G23" s="651">
        <v>0</v>
      </c>
      <c r="H23" s="651">
        <v>0</v>
      </c>
      <c r="I23" s="651">
        <f t="shared" si="11"/>
        <v>0</v>
      </c>
      <c r="J23" s="651">
        <v>0</v>
      </c>
      <c r="K23" s="650" t="s">
        <v>288</v>
      </c>
      <c r="L23" s="650">
        <v>1</v>
      </c>
      <c r="M23" s="279"/>
      <c r="N23" s="272"/>
      <c r="O23" s="277">
        <f t="shared" si="1"/>
        <v>0</v>
      </c>
      <c r="P23" s="277">
        <f t="shared" si="2"/>
        <v>0</v>
      </c>
      <c r="Q23" s="277">
        <f t="shared" si="3"/>
        <v>0</v>
      </c>
      <c r="R23" s="277">
        <f t="shared" si="4"/>
        <v>0</v>
      </c>
      <c r="S23" s="277">
        <f t="shared" si="5"/>
        <v>0</v>
      </c>
      <c r="T23" s="277">
        <f t="shared" si="6"/>
        <v>0</v>
      </c>
      <c r="U23" s="277">
        <f t="shared" si="7"/>
        <v>0</v>
      </c>
      <c r="V23" s="272"/>
      <c r="W23" s="653" t="s">
        <v>281</v>
      </c>
      <c r="X23" s="277">
        <f t="shared" si="9"/>
        <v>0</v>
      </c>
      <c r="Y23" s="277"/>
      <c r="Z23" s="272"/>
      <c r="AA23" s="277"/>
      <c r="AB23" s="274"/>
      <c r="AC23" s="540">
        <f t="shared" si="10"/>
        <v>0</v>
      </c>
    </row>
    <row r="24" spans="2:29" x14ac:dyDescent="0.35">
      <c r="B24" s="272" t="str">
        <f t="shared" si="0"/>
        <v>Udvendig beklædning_Brugerdefineret_3</v>
      </c>
      <c r="C24" s="650">
        <v>100</v>
      </c>
      <c r="D24" s="651">
        <v>0</v>
      </c>
      <c r="E24" s="651">
        <v>0</v>
      </c>
      <c r="F24" s="651">
        <v>0</v>
      </c>
      <c r="G24" s="651">
        <v>0</v>
      </c>
      <c r="H24" s="651">
        <v>0</v>
      </c>
      <c r="I24" s="651">
        <f t="shared" si="11"/>
        <v>0</v>
      </c>
      <c r="J24" s="651">
        <v>0</v>
      </c>
      <c r="K24" s="650" t="s">
        <v>288</v>
      </c>
      <c r="L24" s="650">
        <v>1</v>
      </c>
      <c r="M24" s="279"/>
      <c r="N24" s="272"/>
      <c r="O24" s="277">
        <f t="shared" si="1"/>
        <v>0</v>
      </c>
      <c r="P24" s="277">
        <f t="shared" si="2"/>
        <v>0</v>
      </c>
      <c r="Q24" s="277">
        <f t="shared" si="3"/>
        <v>0</v>
      </c>
      <c r="R24" s="277">
        <f t="shared" si="4"/>
        <v>0</v>
      </c>
      <c r="S24" s="277">
        <f t="shared" si="5"/>
        <v>0</v>
      </c>
      <c r="T24" s="277">
        <f t="shared" si="6"/>
        <v>0</v>
      </c>
      <c r="U24" s="277">
        <f t="shared" si="7"/>
        <v>0</v>
      </c>
      <c r="V24" s="272"/>
      <c r="W24" s="653" t="s">
        <v>282</v>
      </c>
      <c r="X24" s="277">
        <f t="shared" si="9"/>
        <v>0</v>
      </c>
      <c r="Y24" s="277"/>
      <c r="Z24" s="272"/>
      <c r="AA24" s="277"/>
      <c r="AB24" s="274"/>
      <c r="AC24" s="540">
        <f t="shared" si="10"/>
        <v>0</v>
      </c>
    </row>
    <row r="25" spans="2:29" ht="25.4" customHeight="1" x14ac:dyDescent="0.55000000000000004">
      <c r="B25" s="267" t="s">
        <v>283</v>
      </c>
      <c r="C25" s="268">
        <v>200</v>
      </c>
      <c r="D25" s="269"/>
      <c r="E25" s="269"/>
      <c r="F25" s="269"/>
      <c r="G25" s="269"/>
      <c r="H25" s="269"/>
      <c r="I25" s="269"/>
      <c r="J25" s="269"/>
      <c r="K25" s="270"/>
      <c r="L25" s="270"/>
      <c r="M25" s="271"/>
      <c r="N25" s="272"/>
      <c r="O25" s="273"/>
      <c r="P25" s="273"/>
      <c r="Q25" s="273"/>
      <c r="R25" s="273"/>
      <c r="S25" s="273"/>
      <c r="T25" s="273"/>
      <c r="U25" s="273"/>
      <c r="V25" s="272"/>
      <c r="W25" s="274" t="s">
        <v>103</v>
      </c>
      <c r="X25" s="275"/>
      <c r="Y25" s="277"/>
      <c r="Z25" s="272"/>
      <c r="AA25" s="277"/>
      <c r="AB25" s="274"/>
      <c r="AC25" s="295"/>
    </row>
    <row r="26" spans="2:29" x14ac:dyDescent="0.35">
      <c r="B26" s="272" t="str">
        <f t="shared" ref="B26:B31" si="30">$B$25&amp;"_"&amp;W26</f>
        <v>Udvendig konstruktion_Aluminimums ophæng</v>
      </c>
      <c r="C26" s="276">
        <v>120</v>
      </c>
      <c r="D26" s="277">
        <v>54.504752699999997</v>
      </c>
      <c r="E26" s="277">
        <v>0</v>
      </c>
      <c r="F26" s="277">
        <v>0</v>
      </c>
      <c r="G26" s="277">
        <v>0</v>
      </c>
      <c r="H26" s="277">
        <v>0.1069483</v>
      </c>
      <c r="I26" s="277">
        <f t="shared" ref="I26:I31" si="31">D26+G26+H26</f>
        <v>54.611700999999996</v>
      </c>
      <c r="J26" s="277">
        <v>-41.338900000000002</v>
      </c>
      <c r="K26" s="276" t="s">
        <v>270</v>
      </c>
      <c r="L26" s="276">
        <v>1</v>
      </c>
      <c r="M26" s="272"/>
      <c r="N26" s="272"/>
      <c r="O26" s="277">
        <f t="shared" ref="O26:O31" si="32">D26/L26</f>
        <v>54.504752699999997</v>
      </c>
      <c r="P26" s="277">
        <f t="shared" ref="P26:P31" si="33">E26/L26</f>
        <v>0</v>
      </c>
      <c r="Q26" s="277">
        <f t="shared" ref="Q26:Q31" si="34">F26/L26</f>
        <v>0</v>
      </c>
      <c r="R26" s="277">
        <f t="shared" ref="R26:R31" si="35">G26/L26</f>
        <v>0</v>
      </c>
      <c r="S26" s="277">
        <f t="shared" ref="S26:S31" si="36">H26/L26</f>
        <v>0.1069483</v>
      </c>
      <c r="T26" s="277">
        <f t="shared" ref="T26:T31" si="37">I26/L26</f>
        <v>54.611700999999996</v>
      </c>
      <c r="U26" s="277">
        <f t="shared" ref="U26:U31" si="38">J26/L26</f>
        <v>-41.338900000000002</v>
      </c>
      <c r="V26" s="272"/>
      <c r="W26" s="272" t="s">
        <v>284</v>
      </c>
      <c r="X26" s="277">
        <f t="shared" ref="X26:X31" si="39">T26</f>
        <v>54.611700999999996</v>
      </c>
      <c r="Y26" s="277"/>
      <c r="Z26" s="272"/>
      <c r="AA26" s="277"/>
      <c r="AB26" s="274"/>
      <c r="AC26" s="295"/>
    </row>
    <row r="27" spans="2:29" x14ac:dyDescent="0.35">
      <c r="B27" s="272" t="str">
        <f t="shared" si="30"/>
        <v>Udvendig konstruktion_Afstandslister i træ</v>
      </c>
      <c r="C27" s="276">
        <v>120</v>
      </c>
      <c r="D27" s="277">
        <v>-0.29668730000000032</v>
      </c>
      <c r="E27" s="277">
        <v>0</v>
      </c>
      <c r="F27" s="277">
        <v>0</v>
      </c>
      <c r="G27" s="277">
        <v>1.516424</v>
      </c>
      <c r="H27" s="277">
        <v>0.10353795</v>
      </c>
      <c r="I27" s="277">
        <f t="shared" si="31"/>
        <v>1.3232746499999997</v>
      </c>
      <c r="J27" s="277">
        <v>-0.77279299999999995</v>
      </c>
      <c r="K27" s="276" t="s">
        <v>270</v>
      </c>
      <c r="L27" s="276">
        <v>1</v>
      </c>
      <c r="M27" s="272"/>
      <c r="N27" s="272"/>
      <c r="O27" s="277">
        <f t="shared" si="32"/>
        <v>-0.29668730000000032</v>
      </c>
      <c r="P27" s="277">
        <f t="shared" si="33"/>
        <v>0</v>
      </c>
      <c r="Q27" s="277">
        <f t="shared" si="34"/>
        <v>0</v>
      </c>
      <c r="R27" s="277">
        <f t="shared" si="35"/>
        <v>1.516424</v>
      </c>
      <c r="S27" s="277">
        <f t="shared" si="36"/>
        <v>0.10353795</v>
      </c>
      <c r="T27" s="277">
        <f t="shared" si="37"/>
        <v>1.3232746499999997</v>
      </c>
      <c r="U27" s="277">
        <f t="shared" si="38"/>
        <v>-0.77279299999999995</v>
      </c>
      <c r="V27" s="272"/>
      <c r="W27" s="272" t="s">
        <v>104</v>
      </c>
      <c r="X27" s="277">
        <f t="shared" si="39"/>
        <v>1.3232746499999997</v>
      </c>
      <c r="Y27" s="277">
        <v>0.94984800000000003</v>
      </c>
      <c r="Z27" s="272" t="s">
        <v>872</v>
      </c>
      <c r="AA27" s="282">
        <f>Y27/L27</f>
        <v>0.94984800000000003</v>
      </c>
      <c r="AB27" s="274"/>
      <c r="AC27" s="295"/>
    </row>
    <row r="28" spans="2:29" x14ac:dyDescent="0.35">
      <c r="B28" s="272" t="str">
        <f t="shared" si="30"/>
        <v>Udvendig konstruktion_Genbrugs ophæng</v>
      </c>
      <c r="C28" s="276">
        <v>50</v>
      </c>
      <c r="D28" s="277">
        <v>0</v>
      </c>
      <c r="E28" s="277">
        <v>0</v>
      </c>
      <c r="F28" s="277">
        <v>0</v>
      </c>
      <c r="G28" s="277">
        <v>0</v>
      </c>
      <c r="H28" s="277">
        <v>0</v>
      </c>
      <c r="I28" s="277">
        <f t="shared" si="31"/>
        <v>0</v>
      </c>
      <c r="J28" s="277">
        <v>0</v>
      </c>
      <c r="K28" s="276" t="s">
        <v>270</v>
      </c>
      <c r="L28" s="276">
        <v>1</v>
      </c>
      <c r="M28" s="272"/>
      <c r="N28" s="272"/>
      <c r="O28" s="277">
        <f t="shared" si="32"/>
        <v>0</v>
      </c>
      <c r="P28" s="277">
        <f t="shared" si="33"/>
        <v>0</v>
      </c>
      <c r="Q28" s="277">
        <f t="shared" si="34"/>
        <v>0</v>
      </c>
      <c r="R28" s="277">
        <f t="shared" si="35"/>
        <v>0</v>
      </c>
      <c r="S28" s="277">
        <f t="shared" si="36"/>
        <v>0</v>
      </c>
      <c r="T28" s="277">
        <f t="shared" si="37"/>
        <v>0</v>
      </c>
      <c r="U28" s="277">
        <f t="shared" si="38"/>
        <v>0</v>
      </c>
      <c r="V28" s="272"/>
      <c r="W28" s="272" t="s">
        <v>1004</v>
      </c>
      <c r="X28" s="277">
        <f t="shared" si="39"/>
        <v>0</v>
      </c>
      <c r="Y28" s="277"/>
      <c r="Z28" s="272"/>
      <c r="AA28" s="282"/>
      <c r="AB28" s="274"/>
      <c r="AC28" s="295"/>
    </row>
    <row r="29" spans="2:29" x14ac:dyDescent="0.35">
      <c r="B29" s="272" t="str">
        <f t="shared" si="30"/>
        <v>Udvendig konstruktion_Brugerdefineret_1</v>
      </c>
      <c r="C29" s="650">
        <v>100</v>
      </c>
      <c r="D29" s="651">
        <v>0</v>
      </c>
      <c r="E29" s="651">
        <v>0</v>
      </c>
      <c r="F29" s="651">
        <v>0</v>
      </c>
      <c r="G29" s="651">
        <v>0</v>
      </c>
      <c r="H29" s="651">
        <v>0</v>
      </c>
      <c r="I29" s="651">
        <f t="shared" si="31"/>
        <v>0</v>
      </c>
      <c r="J29" s="651">
        <v>0</v>
      </c>
      <c r="K29" s="650" t="s">
        <v>288</v>
      </c>
      <c r="L29" s="276">
        <v>1</v>
      </c>
      <c r="M29" s="272"/>
      <c r="N29" s="272"/>
      <c r="O29" s="277">
        <f t="shared" si="32"/>
        <v>0</v>
      </c>
      <c r="P29" s="277">
        <f t="shared" si="33"/>
        <v>0</v>
      </c>
      <c r="Q29" s="277">
        <f t="shared" si="34"/>
        <v>0</v>
      </c>
      <c r="R29" s="277">
        <f t="shared" si="35"/>
        <v>0</v>
      </c>
      <c r="S29" s="277">
        <f t="shared" si="36"/>
        <v>0</v>
      </c>
      <c r="T29" s="277">
        <f t="shared" si="37"/>
        <v>0</v>
      </c>
      <c r="U29" s="277">
        <f t="shared" si="38"/>
        <v>0</v>
      </c>
      <c r="V29" s="272"/>
      <c r="W29" s="653" t="s">
        <v>280</v>
      </c>
      <c r="X29" s="277">
        <f t="shared" si="39"/>
        <v>0</v>
      </c>
      <c r="Y29" s="277"/>
      <c r="Z29" s="272"/>
      <c r="AA29" s="282"/>
      <c r="AB29" s="274"/>
      <c r="AC29" s="295"/>
    </row>
    <row r="30" spans="2:29" x14ac:dyDescent="0.35">
      <c r="B30" s="272" t="str">
        <f t="shared" si="30"/>
        <v>Udvendig konstruktion_Brugerdefineret_2</v>
      </c>
      <c r="C30" s="650">
        <v>100</v>
      </c>
      <c r="D30" s="651">
        <v>0</v>
      </c>
      <c r="E30" s="651">
        <v>0</v>
      </c>
      <c r="F30" s="651">
        <v>0</v>
      </c>
      <c r="G30" s="651">
        <v>0</v>
      </c>
      <c r="H30" s="651">
        <v>0</v>
      </c>
      <c r="I30" s="651">
        <f t="shared" si="31"/>
        <v>0</v>
      </c>
      <c r="J30" s="651">
        <v>0</v>
      </c>
      <c r="K30" s="650" t="s">
        <v>288</v>
      </c>
      <c r="L30" s="276">
        <v>1</v>
      </c>
      <c r="M30" s="272"/>
      <c r="N30" s="272"/>
      <c r="O30" s="277">
        <f t="shared" si="32"/>
        <v>0</v>
      </c>
      <c r="P30" s="277">
        <f t="shared" si="33"/>
        <v>0</v>
      </c>
      <c r="Q30" s="277">
        <f t="shared" si="34"/>
        <v>0</v>
      </c>
      <c r="R30" s="277">
        <f t="shared" si="35"/>
        <v>0</v>
      </c>
      <c r="S30" s="277">
        <f t="shared" si="36"/>
        <v>0</v>
      </c>
      <c r="T30" s="277">
        <f t="shared" si="37"/>
        <v>0</v>
      </c>
      <c r="U30" s="277">
        <f t="shared" si="38"/>
        <v>0</v>
      </c>
      <c r="V30" s="272"/>
      <c r="W30" s="653" t="s">
        <v>281</v>
      </c>
      <c r="X30" s="277">
        <f t="shared" si="39"/>
        <v>0</v>
      </c>
      <c r="Y30" s="277"/>
      <c r="Z30" s="272"/>
      <c r="AA30" s="282"/>
      <c r="AB30" s="274"/>
      <c r="AC30" s="295"/>
    </row>
    <row r="31" spans="2:29" x14ac:dyDescent="0.35">
      <c r="B31" s="272" t="str">
        <f t="shared" si="30"/>
        <v>Udvendig konstruktion_Brugerdefineret_3</v>
      </c>
      <c r="C31" s="650">
        <v>100</v>
      </c>
      <c r="D31" s="651">
        <v>0</v>
      </c>
      <c r="E31" s="651">
        <v>0</v>
      </c>
      <c r="F31" s="651">
        <v>0</v>
      </c>
      <c r="G31" s="651">
        <v>0</v>
      </c>
      <c r="H31" s="651">
        <v>0</v>
      </c>
      <c r="I31" s="651">
        <f t="shared" si="31"/>
        <v>0</v>
      </c>
      <c r="J31" s="651">
        <v>0</v>
      </c>
      <c r="K31" s="650" t="s">
        <v>288</v>
      </c>
      <c r="L31" s="276">
        <v>1</v>
      </c>
      <c r="M31" s="272"/>
      <c r="N31" s="272"/>
      <c r="O31" s="277">
        <f t="shared" si="32"/>
        <v>0</v>
      </c>
      <c r="P31" s="277">
        <f t="shared" si="33"/>
        <v>0</v>
      </c>
      <c r="Q31" s="277">
        <f t="shared" si="34"/>
        <v>0</v>
      </c>
      <c r="R31" s="277">
        <f t="shared" si="35"/>
        <v>0</v>
      </c>
      <c r="S31" s="277">
        <f t="shared" si="36"/>
        <v>0</v>
      </c>
      <c r="T31" s="277">
        <f t="shared" si="37"/>
        <v>0</v>
      </c>
      <c r="U31" s="277">
        <f t="shared" si="38"/>
        <v>0</v>
      </c>
      <c r="V31" s="272"/>
      <c r="W31" s="653" t="s">
        <v>282</v>
      </c>
      <c r="X31" s="277">
        <f t="shared" si="39"/>
        <v>0</v>
      </c>
      <c r="Y31" s="277"/>
      <c r="Z31" s="272"/>
      <c r="AA31" s="277"/>
      <c r="AB31" s="274"/>
      <c r="AC31" s="295"/>
    </row>
    <row r="32" spans="2:29" ht="23.5" x14ac:dyDescent="0.55000000000000004">
      <c r="B32" s="281" t="s">
        <v>209</v>
      </c>
      <c r="C32" s="276"/>
      <c r="D32" s="276"/>
      <c r="E32" s="276"/>
      <c r="F32" s="276"/>
      <c r="G32" s="276"/>
      <c r="H32" s="276"/>
      <c r="I32" s="277"/>
      <c r="J32" s="276"/>
      <c r="K32" s="276"/>
      <c r="L32" s="276"/>
      <c r="M32" s="272"/>
      <c r="N32" s="272"/>
      <c r="O32" s="272"/>
      <c r="P32" s="272"/>
      <c r="Q32" s="272"/>
      <c r="R32" s="272"/>
      <c r="S32" s="272"/>
      <c r="T32" s="272"/>
      <c r="U32" s="272"/>
      <c r="V32" s="272"/>
      <c r="W32" s="274" t="s">
        <v>103</v>
      </c>
      <c r="X32" s="275">
        <v>0</v>
      </c>
      <c r="Y32" s="277"/>
      <c r="Z32" s="272"/>
      <c r="AA32" s="277"/>
      <c r="AB32" s="274"/>
      <c r="AC32" s="295"/>
    </row>
    <row r="33" spans="2:29" x14ac:dyDescent="0.35">
      <c r="B33" s="271"/>
      <c r="C33" s="268">
        <v>200</v>
      </c>
      <c r="D33" s="276"/>
      <c r="E33" s="276"/>
      <c r="F33" s="276"/>
      <c r="G33" s="276"/>
      <c r="H33" s="276"/>
      <c r="I33" s="277"/>
      <c r="J33" s="276"/>
      <c r="K33" s="276"/>
      <c r="L33" s="276"/>
      <c r="M33" s="272"/>
      <c r="N33" s="272"/>
      <c r="O33" s="272"/>
      <c r="P33" s="272"/>
      <c r="Q33" s="272"/>
      <c r="R33" s="272"/>
      <c r="S33" s="272"/>
      <c r="T33" s="272"/>
      <c r="U33" s="272"/>
      <c r="V33" s="272"/>
      <c r="W33" s="274" t="s">
        <v>103</v>
      </c>
      <c r="X33" s="275"/>
      <c r="Y33" s="277"/>
      <c r="Z33" s="272"/>
      <c r="AA33" s="277"/>
      <c r="AB33" s="274"/>
      <c r="AC33" s="295"/>
    </row>
    <row r="34" spans="2:29" ht="20.25" customHeight="1" x14ac:dyDescent="0.35">
      <c r="B34" s="272" t="str">
        <f t="shared" ref="B34:B47" si="40">$B$32&amp;"_"&amp;W34</f>
        <v>Isolering_Mineraluld</v>
      </c>
      <c r="C34" s="276">
        <v>80</v>
      </c>
      <c r="D34" s="277">
        <v>12.09</v>
      </c>
      <c r="E34" s="277">
        <v>0</v>
      </c>
      <c r="F34" s="277">
        <v>0</v>
      </c>
      <c r="G34" s="277">
        <v>0.21640000000000001</v>
      </c>
      <c r="H34" s="277">
        <v>0.11990000000000001</v>
      </c>
      <c r="I34" s="277">
        <f>D34+G34+H34</f>
        <v>12.426299999999999</v>
      </c>
      <c r="J34" s="277">
        <v>0</v>
      </c>
      <c r="K34" s="276" t="s">
        <v>270</v>
      </c>
      <c r="L34" s="276">
        <v>300</v>
      </c>
      <c r="M34" s="276">
        <v>3.6999999999999998E-2</v>
      </c>
      <c r="N34" s="272"/>
      <c r="O34" s="277">
        <f t="shared" ref="O34:O51" si="41">D34/L34</f>
        <v>4.0300000000000002E-2</v>
      </c>
      <c r="P34" s="277">
        <f t="shared" ref="P34:P51" si="42">E34/L34</f>
        <v>0</v>
      </c>
      <c r="Q34" s="277">
        <f t="shared" ref="Q34:Q51" si="43">F34/L34</f>
        <v>0</v>
      </c>
      <c r="R34" s="277">
        <f t="shared" ref="R34:R51" si="44">G34/L34</f>
        <v>7.2133333333333337E-4</v>
      </c>
      <c r="S34" s="277">
        <f t="shared" ref="S34:S51" si="45">H34/L34</f>
        <v>3.9966666666666671E-4</v>
      </c>
      <c r="T34" s="294">
        <f t="shared" ref="T34:T51" si="46">I34/L34</f>
        <v>4.1420999999999999E-2</v>
      </c>
      <c r="U34" s="277">
        <f t="shared" ref="U34:U51" si="47">J34/L34</f>
        <v>0</v>
      </c>
      <c r="V34" s="272"/>
      <c r="W34" s="272" t="s">
        <v>105</v>
      </c>
      <c r="X34" s="282">
        <f t="shared" ref="X34:X51" si="48">T34</f>
        <v>4.1420999999999999E-2</v>
      </c>
      <c r="Y34" s="277"/>
      <c r="Z34" s="282"/>
      <c r="AA34" s="277"/>
      <c r="AB34" s="274"/>
      <c r="AC34" s="295"/>
    </row>
    <row r="35" spans="2:29" x14ac:dyDescent="0.35">
      <c r="B35" s="272" t="str">
        <f t="shared" si="40"/>
        <v>Isolering_Træfiberisoleringsplader</v>
      </c>
      <c r="C35" s="276">
        <v>80</v>
      </c>
      <c r="D35" s="277">
        <v>-46.89</v>
      </c>
      <c r="E35" s="277">
        <v>0</v>
      </c>
      <c r="F35" s="277">
        <v>0</v>
      </c>
      <c r="G35" s="277">
        <v>71.459999999999994</v>
      </c>
      <c r="H35" s="277">
        <v>0</v>
      </c>
      <c r="I35" s="277">
        <f>D35+G35+H35</f>
        <v>24.569999999999993</v>
      </c>
      <c r="J35" s="277">
        <v>-37.200000000000003</v>
      </c>
      <c r="K35" s="276" t="s">
        <v>270</v>
      </c>
      <c r="L35" s="276">
        <v>300</v>
      </c>
      <c r="M35" s="276">
        <v>3.7999999999999999E-2</v>
      </c>
      <c r="N35" s="272"/>
      <c r="O35" s="277">
        <f t="shared" si="41"/>
        <v>-0.15629999999999999</v>
      </c>
      <c r="P35" s="277">
        <f t="shared" si="42"/>
        <v>0</v>
      </c>
      <c r="Q35" s="277">
        <f t="shared" si="43"/>
        <v>0</v>
      </c>
      <c r="R35" s="277">
        <f t="shared" si="44"/>
        <v>0.23819999999999997</v>
      </c>
      <c r="S35" s="277">
        <f t="shared" si="45"/>
        <v>0</v>
      </c>
      <c r="T35" s="294">
        <f t="shared" si="46"/>
        <v>8.1899999999999973E-2</v>
      </c>
      <c r="U35" s="277">
        <f t="shared" si="47"/>
        <v>-0.12400000000000001</v>
      </c>
      <c r="V35" s="272"/>
      <c r="W35" s="272" t="s">
        <v>852</v>
      </c>
      <c r="X35" s="282">
        <f t="shared" si="48"/>
        <v>8.1899999999999973E-2</v>
      </c>
      <c r="Y35" s="277">
        <v>47.25</v>
      </c>
      <c r="Z35" s="282" t="s">
        <v>854</v>
      </c>
      <c r="AA35" s="282">
        <f>Y35/L35</f>
        <v>0.1575</v>
      </c>
      <c r="AB35" s="274"/>
      <c r="AC35" s="295"/>
    </row>
    <row r="36" spans="2:29" x14ac:dyDescent="0.35">
      <c r="B36" s="272" t="str">
        <f t="shared" si="40"/>
        <v>Isolering_Papiruld</v>
      </c>
      <c r="C36" s="276">
        <v>50</v>
      </c>
      <c r="D36" s="277">
        <v>-22.011749999999999</v>
      </c>
      <c r="E36" s="277">
        <v>7.7127899999999983</v>
      </c>
      <c r="F36" s="277">
        <v>0</v>
      </c>
      <c r="G36" s="277">
        <v>29.724540000000001</v>
      </c>
      <c r="H36" s="277">
        <v>0</v>
      </c>
      <c r="I36" s="277">
        <f>D36+G36+H36</f>
        <v>7.7127900000000018</v>
      </c>
      <c r="J36" s="277">
        <v>-9.1519999999999992</v>
      </c>
      <c r="K36" s="276" t="s">
        <v>270</v>
      </c>
      <c r="L36" s="276">
        <v>300</v>
      </c>
      <c r="M36" s="276">
        <v>0.04</v>
      </c>
      <c r="N36" s="272"/>
      <c r="O36" s="277">
        <f t="shared" si="41"/>
        <v>-7.3372499999999993E-2</v>
      </c>
      <c r="P36" s="277">
        <f t="shared" si="42"/>
        <v>2.5709299999999994E-2</v>
      </c>
      <c r="Q36" s="277">
        <f t="shared" si="43"/>
        <v>0</v>
      </c>
      <c r="R36" s="277">
        <f t="shared" si="44"/>
        <v>9.9081799999999998E-2</v>
      </c>
      <c r="S36" s="277">
        <f t="shared" si="45"/>
        <v>0</v>
      </c>
      <c r="T36" s="294">
        <f t="shared" si="46"/>
        <v>2.5709300000000004E-2</v>
      </c>
      <c r="U36" s="277">
        <f t="shared" si="47"/>
        <v>-3.0506666666666665E-2</v>
      </c>
      <c r="V36" s="272"/>
      <c r="W36" s="272" t="s">
        <v>285</v>
      </c>
      <c r="X36" s="282">
        <f t="shared" si="48"/>
        <v>2.5709300000000004E-2</v>
      </c>
      <c r="Y36" s="277">
        <v>13.5</v>
      </c>
      <c r="Z36" s="282" t="s">
        <v>854</v>
      </c>
      <c r="AA36" s="282">
        <f>Y36/L36</f>
        <v>4.4999999999999998E-2</v>
      </c>
      <c r="AB36" s="274"/>
      <c r="AC36" s="295"/>
    </row>
    <row r="37" spans="2:29" x14ac:dyDescent="0.35">
      <c r="B37" s="272" t="str">
        <f t="shared" si="40"/>
        <v>Isolering_Celleglas</v>
      </c>
      <c r="C37" s="276">
        <v>60</v>
      </c>
      <c r="D37" s="277">
        <v>45.54</v>
      </c>
      <c r="E37" s="277">
        <v>0</v>
      </c>
      <c r="F37" s="277">
        <v>0</v>
      </c>
      <c r="G37" s="277">
        <v>0</v>
      </c>
      <c r="H37" s="277">
        <v>0.4706283</v>
      </c>
      <c r="I37" s="277">
        <f>D37+G37+H37</f>
        <v>46.0106283</v>
      </c>
      <c r="J37" s="277">
        <v>0</v>
      </c>
      <c r="K37" s="276" t="s">
        <v>270</v>
      </c>
      <c r="L37" s="276">
        <v>300</v>
      </c>
      <c r="M37" s="276">
        <v>0.05</v>
      </c>
      <c r="N37" s="272"/>
      <c r="O37" s="277">
        <f t="shared" si="41"/>
        <v>0.15179999999999999</v>
      </c>
      <c r="P37" s="277">
        <f t="shared" si="42"/>
        <v>0</v>
      </c>
      <c r="Q37" s="277">
        <f t="shared" si="43"/>
        <v>0</v>
      </c>
      <c r="R37" s="277">
        <f t="shared" si="44"/>
        <v>0</v>
      </c>
      <c r="S37" s="277">
        <f t="shared" si="45"/>
        <v>1.5687609999999999E-3</v>
      </c>
      <c r="T37" s="294">
        <f t="shared" si="46"/>
        <v>0.15336876099999999</v>
      </c>
      <c r="U37" s="277">
        <f t="shared" si="47"/>
        <v>0</v>
      </c>
      <c r="V37" s="272"/>
      <c r="W37" s="272" t="s">
        <v>286</v>
      </c>
      <c r="X37" s="282">
        <f t="shared" si="48"/>
        <v>0.15336876099999999</v>
      </c>
      <c r="Y37" s="277"/>
      <c r="Z37" s="282"/>
      <c r="AA37" s="277"/>
      <c r="AB37" s="274"/>
      <c r="AC37" s="295"/>
    </row>
    <row r="38" spans="2:29" x14ac:dyDescent="0.35">
      <c r="B38" s="272" t="str">
        <f t="shared" si="40"/>
        <v>Isolering_EPS</v>
      </c>
      <c r="C38" s="276">
        <v>80</v>
      </c>
      <c r="D38" s="277">
        <v>22.62</v>
      </c>
      <c r="E38" s="277">
        <v>0</v>
      </c>
      <c r="F38" s="277">
        <v>0</v>
      </c>
      <c r="G38" s="277">
        <v>0</v>
      </c>
      <c r="H38" s="277">
        <v>25.77</v>
      </c>
      <c r="I38" s="277">
        <f t="shared" ref="I38:I51" si="49">D38+G38+H38</f>
        <v>48.39</v>
      </c>
      <c r="J38" s="277">
        <v>-13.56</v>
      </c>
      <c r="K38" s="276" t="s">
        <v>270</v>
      </c>
      <c r="L38" s="276">
        <v>300</v>
      </c>
      <c r="M38" s="276">
        <v>3.1E-2</v>
      </c>
      <c r="N38" s="272"/>
      <c r="O38" s="277">
        <f t="shared" si="41"/>
        <v>7.5400000000000009E-2</v>
      </c>
      <c r="P38" s="277">
        <f t="shared" si="42"/>
        <v>0</v>
      </c>
      <c r="Q38" s="277">
        <f t="shared" si="43"/>
        <v>0</v>
      </c>
      <c r="R38" s="277">
        <f t="shared" si="44"/>
        <v>0</v>
      </c>
      <c r="S38" s="277">
        <f t="shared" si="45"/>
        <v>8.5900000000000004E-2</v>
      </c>
      <c r="T38" s="294">
        <f t="shared" si="46"/>
        <v>0.1613</v>
      </c>
      <c r="U38" s="277">
        <f t="shared" si="47"/>
        <v>-4.5200000000000004E-2</v>
      </c>
      <c r="V38" s="272"/>
      <c r="W38" s="272" t="s">
        <v>287</v>
      </c>
      <c r="X38" s="282">
        <f t="shared" si="48"/>
        <v>0.1613</v>
      </c>
      <c r="Y38" s="277"/>
      <c r="Z38" s="282"/>
      <c r="AA38" s="277"/>
      <c r="AB38" s="274"/>
      <c r="AC38" s="295"/>
    </row>
    <row r="39" spans="2:29" x14ac:dyDescent="0.35">
      <c r="B39" s="272" t="str">
        <f t="shared" si="40"/>
        <v>Isolering_Kork, expanderet</v>
      </c>
      <c r="C39" s="276">
        <v>50</v>
      </c>
      <c r="D39" s="277">
        <v>-29.070209999999999</v>
      </c>
      <c r="E39" s="277">
        <v>0</v>
      </c>
      <c r="F39" s="277">
        <v>0</v>
      </c>
      <c r="G39" s="277">
        <v>45.451500000000003</v>
      </c>
      <c r="H39" s="277">
        <v>0</v>
      </c>
      <c r="I39" s="277">
        <f t="shared" si="49"/>
        <v>16.381290000000003</v>
      </c>
      <c r="J39" s="277">
        <v>-11.650169999999999</v>
      </c>
      <c r="K39" s="276" t="s">
        <v>270</v>
      </c>
      <c r="L39" s="276">
        <v>300</v>
      </c>
      <c r="M39" s="276">
        <v>0.04</v>
      </c>
      <c r="N39" s="272"/>
      <c r="O39" s="277">
        <f t="shared" si="41"/>
        <v>-9.6900699999999992E-2</v>
      </c>
      <c r="P39" s="277">
        <f t="shared" si="42"/>
        <v>0</v>
      </c>
      <c r="Q39" s="277">
        <f t="shared" si="43"/>
        <v>0</v>
      </c>
      <c r="R39" s="277">
        <f t="shared" si="44"/>
        <v>0.151505</v>
      </c>
      <c r="S39" s="277">
        <f t="shared" si="45"/>
        <v>0</v>
      </c>
      <c r="T39" s="294">
        <f t="shared" si="46"/>
        <v>5.4604300000000008E-2</v>
      </c>
      <c r="U39" s="277">
        <f t="shared" si="47"/>
        <v>-3.8833899999999998E-2</v>
      </c>
      <c r="V39" s="272"/>
      <c r="W39" s="272" t="s">
        <v>290</v>
      </c>
      <c r="X39" s="282">
        <f t="shared" si="48"/>
        <v>5.4604300000000008E-2</v>
      </c>
      <c r="Y39" s="277">
        <v>24</v>
      </c>
      <c r="Z39" s="282" t="s">
        <v>854</v>
      </c>
      <c r="AA39" s="282">
        <f t="shared" ref="AA39:AA45" si="50">Y39/L39</f>
        <v>0.08</v>
      </c>
      <c r="AB39" s="274"/>
      <c r="AC39" s="295"/>
    </row>
    <row r="40" spans="2:29" x14ac:dyDescent="0.35">
      <c r="B40" s="272" t="str">
        <f t="shared" si="40"/>
        <v>Isolering_Halm</v>
      </c>
      <c r="C40" s="276">
        <v>50</v>
      </c>
      <c r="D40" s="277">
        <v>-38.1</v>
      </c>
      <c r="E40" s="277">
        <v>0</v>
      </c>
      <c r="F40" s="277">
        <v>0</v>
      </c>
      <c r="G40" s="277">
        <v>0</v>
      </c>
      <c r="H40" s="277">
        <v>40.200000000000003</v>
      </c>
      <c r="I40" s="277">
        <f t="shared" si="49"/>
        <v>2.1000000000000014</v>
      </c>
      <c r="J40" s="277">
        <v>0</v>
      </c>
      <c r="K40" s="276" t="s">
        <v>270</v>
      </c>
      <c r="L40" s="276">
        <v>300</v>
      </c>
      <c r="M40" s="276">
        <v>3.6999999999999998E-2</v>
      </c>
      <c r="N40" s="272"/>
      <c r="O40" s="277">
        <f t="shared" si="41"/>
        <v>-0.127</v>
      </c>
      <c r="P40" s="277">
        <f t="shared" si="42"/>
        <v>0</v>
      </c>
      <c r="Q40" s="277">
        <f t="shared" si="43"/>
        <v>0</v>
      </c>
      <c r="R40" s="277">
        <f t="shared" si="44"/>
        <v>0</v>
      </c>
      <c r="S40" s="277">
        <f t="shared" si="45"/>
        <v>0.13400000000000001</v>
      </c>
      <c r="T40" s="294">
        <f t="shared" si="46"/>
        <v>7.0000000000000045E-3</v>
      </c>
      <c r="U40" s="277">
        <f t="shared" si="47"/>
        <v>0</v>
      </c>
      <c r="V40" s="272"/>
      <c r="W40" s="272" t="s">
        <v>291</v>
      </c>
      <c r="X40" s="282">
        <f t="shared" si="48"/>
        <v>7.0000000000000045E-3</v>
      </c>
      <c r="Y40" s="277">
        <v>30</v>
      </c>
      <c r="Z40" s="282" t="s">
        <v>854</v>
      </c>
      <c r="AA40" s="282">
        <f t="shared" si="50"/>
        <v>0.1</v>
      </c>
      <c r="AB40" s="274"/>
      <c r="AC40" s="295"/>
    </row>
    <row r="41" spans="2:29" x14ac:dyDescent="0.35">
      <c r="B41" s="272" t="str">
        <f t="shared" si="40"/>
        <v>Isolering_Græs isolering</v>
      </c>
      <c r="C41" s="276">
        <v>60</v>
      </c>
      <c r="D41" s="277">
        <v>-5.01</v>
      </c>
      <c r="E41" s="277">
        <v>0</v>
      </c>
      <c r="F41" s="277">
        <v>0</v>
      </c>
      <c r="G41" s="277">
        <v>8.77</v>
      </c>
      <c r="H41" s="277">
        <v>0.35399999999999998</v>
      </c>
      <c r="I41" s="277">
        <f t="shared" si="49"/>
        <v>4.1139999999999999</v>
      </c>
      <c r="J41" s="277">
        <v>-1.66</v>
      </c>
      <c r="K41" s="276" t="s">
        <v>288</v>
      </c>
      <c r="L41" s="276">
        <v>100</v>
      </c>
      <c r="M41" s="276">
        <v>0.04</v>
      </c>
      <c r="N41" s="272"/>
      <c r="O41" s="277">
        <f t="shared" si="41"/>
        <v>-5.0099999999999999E-2</v>
      </c>
      <c r="P41" s="282">
        <f t="shared" si="42"/>
        <v>0</v>
      </c>
      <c r="Q41" s="282">
        <f t="shared" si="43"/>
        <v>0</v>
      </c>
      <c r="R41" s="282">
        <f t="shared" si="44"/>
        <v>8.77E-2</v>
      </c>
      <c r="S41" s="282">
        <f>H41/L41</f>
        <v>3.5399999999999997E-3</v>
      </c>
      <c r="T41" s="294">
        <f>I41/L41</f>
        <v>4.1139999999999996E-2</v>
      </c>
      <c r="U41" s="282">
        <f t="shared" si="47"/>
        <v>-1.66E-2</v>
      </c>
      <c r="V41" s="272"/>
      <c r="W41" s="272" t="s">
        <v>294</v>
      </c>
      <c r="X41" s="282">
        <f t="shared" si="48"/>
        <v>4.1139999999999996E-2</v>
      </c>
      <c r="Y41" s="277">
        <v>4.5</v>
      </c>
      <c r="Z41" s="282" t="s">
        <v>855</v>
      </c>
      <c r="AA41" s="282">
        <f t="shared" si="50"/>
        <v>4.4999999999999998E-2</v>
      </c>
      <c r="AB41" s="539" t="s">
        <v>853</v>
      </c>
      <c r="AC41" s="295"/>
    </row>
    <row r="42" spans="2:29" x14ac:dyDescent="0.35">
      <c r="B42" s="272" t="str">
        <f t="shared" si="40"/>
        <v>Isolering_Papiruld 35 kg/m3 til loft Produktspecifik</v>
      </c>
      <c r="C42" s="276">
        <v>50</v>
      </c>
      <c r="D42" s="277">
        <v>-4.3099999999999996</v>
      </c>
      <c r="E42" s="277">
        <v>0</v>
      </c>
      <c r="F42" s="277">
        <v>0</v>
      </c>
      <c r="G42" s="277">
        <v>5.08</v>
      </c>
      <c r="H42" s="277">
        <v>0</v>
      </c>
      <c r="I42" s="277">
        <f t="shared" si="49"/>
        <v>0.77000000000000046</v>
      </c>
      <c r="J42" s="277">
        <v>-1.56</v>
      </c>
      <c r="K42" s="276" t="s">
        <v>288</v>
      </c>
      <c r="L42" s="276">
        <v>100</v>
      </c>
      <c r="M42" s="276">
        <v>0.04</v>
      </c>
      <c r="N42" s="272"/>
      <c r="O42" s="277">
        <f t="shared" si="41"/>
        <v>-4.3099999999999999E-2</v>
      </c>
      <c r="P42" s="277">
        <f t="shared" si="42"/>
        <v>0</v>
      </c>
      <c r="Q42" s="277">
        <f t="shared" si="43"/>
        <v>0</v>
      </c>
      <c r="R42" s="277">
        <f t="shared" si="44"/>
        <v>5.0799999999999998E-2</v>
      </c>
      <c r="S42" s="277">
        <f t="shared" si="45"/>
        <v>0</v>
      </c>
      <c r="T42" s="294">
        <f t="shared" si="46"/>
        <v>7.7000000000000046E-3</v>
      </c>
      <c r="U42" s="277">
        <f t="shared" si="47"/>
        <v>-1.5600000000000001E-2</v>
      </c>
      <c r="V42" s="272"/>
      <c r="W42" s="272" t="s">
        <v>1000</v>
      </c>
      <c r="X42" s="277">
        <f t="shared" si="48"/>
        <v>7.7000000000000046E-3</v>
      </c>
      <c r="Y42" s="277">
        <v>3.5</v>
      </c>
      <c r="Z42" s="282" t="s">
        <v>855</v>
      </c>
      <c r="AA42" s="282">
        <f t="shared" si="50"/>
        <v>3.5000000000000003E-2</v>
      </c>
      <c r="AB42" s="539" t="s">
        <v>853</v>
      </c>
      <c r="AC42" s="295"/>
    </row>
    <row r="43" spans="2:29" x14ac:dyDescent="0.35">
      <c r="B43" s="272" t="str">
        <f t="shared" si="40"/>
        <v>Isolering_Papiruld 65 kg/m3 til væg Produktspecifik</v>
      </c>
      <c r="C43" s="276">
        <v>50</v>
      </c>
      <c r="D43" s="277">
        <v>-8</v>
      </c>
      <c r="E43" s="277">
        <v>0</v>
      </c>
      <c r="F43" s="277">
        <v>0</v>
      </c>
      <c r="G43" s="277">
        <v>9.43</v>
      </c>
      <c r="H43" s="277">
        <v>0</v>
      </c>
      <c r="I43" s="277">
        <f t="shared" si="49"/>
        <v>1.4299999999999997</v>
      </c>
      <c r="J43" s="277">
        <v>-29.06</v>
      </c>
      <c r="K43" s="276" t="s">
        <v>288</v>
      </c>
      <c r="L43" s="276">
        <v>100</v>
      </c>
      <c r="M43" s="276">
        <v>0.04</v>
      </c>
      <c r="N43" s="272"/>
      <c r="O43" s="277">
        <f t="shared" si="41"/>
        <v>-0.08</v>
      </c>
      <c r="P43" s="277">
        <f t="shared" si="42"/>
        <v>0</v>
      </c>
      <c r="Q43" s="277">
        <f t="shared" si="43"/>
        <v>0</v>
      </c>
      <c r="R43" s="277">
        <f t="shared" si="44"/>
        <v>9.4299999999999995E-2</v>
      </c>
      <c r="S43" s="277">
        <f t="shared" si="45"/>
        <v>0</v>
      </c>
      <c r="T43" s="294">
        <f t="shared" si="46"/>
        <v>1.4299999999999997E-2</v>
      </c>
      <c r="U43" s="277">
        <f t="shared" si="47"/>
        <v>-0.29059999999999997</v>
      </c>
      <c r="V43" s="272"/>
      <c r="W43" s="272" t="s">
        <v>999</v>
      </c>
      <c r="X43" s="277">
        <f t="shared" si="48"/>
        <v>1.4299999999999997E-2</v>
      </c>
      <c r="Y43" s="277">
        <v>6.5</v>
      </c>
      <c r="Z43" s="282" t="s">
        <v>855</v>
      </c>
      <c r="AA43" s="282">
        <f t="shared" si="50"/>
        <v>6.5000000000000002E-2</v>
      </c>
      <c r="AB43" s="539" t="s">
        <v>853</v>
      </c>
      <c r="AC43" s="295"/>
    </row>
    <row r="44" spans="2:29" x14ac:dyDescent="0.35">
      <c r="B44" s="272" t="str">
        <f t="shared" si="40"/>
        <v>Isolering_Træfiberisolering, batts Produktspecifik</v>
      </c>
      <c r="C44" s="276">
        <v>60</v>
      </c>
      <c r="D44" s="277">
        <v>-6.39</v>
      </c>
      <c r="E44" s="277">
        <v>0</v>
      </c>
      <c r="F44" s="277">
        <v>0</v>
      </c>
      <c r="G44" s="277">
        <v>7.89</v>
      </c>
      <c r="H44" s="277">
        <v>0</v>
      </c>
      <c r="I44" s="277">
        <f t="shared" si="49"/>
        <v>1.5</v>
      </c>
      <c r="J44" s="277">
        <v>-0.54</v>
      </c>
      <c r="K44" s="276" t="s">
        <v>288</v>
      </c>
      <c r="L44" s="276">
        <v>100</v>
      </c>
      <c r="M44" s="276">
        <v>3.7999999999999999E-2</v>
      </c>
      <c r="N44" s="272"/>
      <c r="O44" s="277">
        <f t="shared" si="41"/>
        <v>-6.3899999999999998E-2</v>
      </c>
      <c r="P44" s="277">
        <f t="shared" si="42"/>
        <v>0</v>
      </c>
      <c r="Q44" s="277">
        <f t="shared" si="43"/>
        <v>0</v>
      </c>
      <c r="R44" s="277">
        <f t="shared" si="44"/>
        <v>7.8899999999999998E-2</v>
      </c>
      <c r="S44" s="277">
        <f t="shared" si="45"/>
        <v>0</v>
      </c>
      <c r="T44" s="294">
        <f t="shared" si="46"/>
        <v>1.4999999999999999E-2</v>
      </c>
      <c r="U44" s="277">
        <f t="shared" si="47"/>
        <v>-5.4000000000000003E-3</v>
      </c>
      <c r="V44" s="272"/>
      <c r="W44" s="272" t="s">
        <v>998</v>
      </c>
      <c r="X44" s="277">
        <f t="shared" si="48"/>
        <v>1.4999999999999999E-2</v>
      </c>
      <c r="Y44" s="277">
        <v>3.35</v>
      </c>
      <c r="Z44" s="282" t="s">
        <v>855</v>
      </c>
      <c r="AA44" s="282">
        <f t="shared" si="50"/>
        <v>3.3500000000000002E-2</v>
      </c>
      <c r="AB44" s="539" t="s">
        <v>853</v>
      </c>
      <c r="AC44" s="295"/>
    </row>
    <row r="45" spans="2:29" x14ac:dyDescent="0.35">
      <c r="B45" s="272" t="str">
        <f t="shared" si="40"/>
        <v>Isolering_Træfiberisolering, løsuld Produktspecifik</v>
      </c>
      <c r="C45" s="276">
        <v>60</v>
      </c>
      <c r="D45" s="277">
        <v>-4.84</v>
      </c>
      <c r="E45" s="277">
        <v>0</v>
      </c>
      <c r="F45" s="277">
        <v>0</v>
      </c>
      <c r="G45" s="277">
        <v>5.42</v>
      </c>
      <c r="H45" s="277">
        <v>0</v>
      </c>
      <c r="I45" s="277">
        <f t="shared" si="49"/>
        <v>0.58000000000000007</v>
      </c>
      <c r="J45" s="277">
        <v>-3.63</v>
      </c>
      <c r="K45" s="276" t="s">
        <v>288</v>
      </c>
      <c r="L45" s="276">
        <v>100</v>
      </c>
      <c r="M45" s="276">
        <v>3.7999999999999999E-2</v>
      </c>
      <c r="N45" s="272"/>
      <c r="O45" s="277">
        <f t="shared" si="41"/>
        <v>-4.8399999999999999E-2</v>
      </c>
      <c r="P45" s="277">
        <f t="shared" si="42"/>
        <v>0</v>
      </c>
      <c r="Q45" s="277">
        <f t="shared" si="43"/>
        <v>0</v>
      </c>
      <c r="R45" s="277">
        <f t="shared" si="44"/>
        <v>5.4199999999999998E-2</v>
      </c>
      <c r="S45" s="277">
        <f t="shared" si="45"/>
        <v>0</v>
      </c>
      <c r="T45" s="294">
        <f t="shared" si="46"/>
        <v>5.8000000000000005E-3</v>
      </c>
      <c r="U45" s="277">
        <f t="shared" si="47"/>
        <v>-3.6299999999999999E-2</v>
      </c>
      <c r="V45" s="272"/>
      <c r="W45" s="272" t="s">
        <v>997</v>
      </c>
      <c r="X45" s="277">
        <f t="shared" si="48"/>
        <v>5.8000000000000005E-3</v>
      </c>
      <c r="Y45" s="277">
        <v>3.35</v>
      </c>
      <c r="Z45" s="282" t="s">
        <v>855</v>
      </c>
      <c r="AA45" s="282">
        <f t="shared" si="50"/>
        <v>3.3500000000000002E-2</v>
      </c>
      <c r="AB45" s="539" t="s">
        <v>853</v>
      </c>
      <c r="AC45" s="295"/>
    </row>
    <row r="46" spans="2:29" x14ac:dyDescent="0.35">
      <c r="B46" s="272" t="str">
        <f t="shared" si="40"/>
        <v>Isolering_Stenuld Produktspecifik</v>
      </c>
      <c r="C46" s="276">
        <v>80</v>
      </c>
      <c r="D46" s="277">
        <v>2.2000000000000002</v>
      </c>
      <c r="E46" s="277">
        <v>0</v>
      </c>
      <c r="F46" s="277">
        <v>0</v>
      </c>
      <c r="G46" s="277">
        <v>0</v>
      </c>
      <c r="H46" s="277">
        <v>0.33800000000000002</v>
      </c>
      <c r="I46" s="277">
        <f t="shared" si="49"/>
        <v>2.5380000000000003</v>
      </c>
      <c r="J46" s="277">
        <v>-4.9700000000000001E-2</v>
      </c>
      <c r="K46" s="276" t="s">
        <v>288</v>
      </c>
      <c r="L46" s="276">
        <v>100</v>
      </c>
      <c r="M46" s="276">
        <v>3.6999999999999998E-2</v>
      </c>
      <c r="N46" s="272"/>
      <c r="O46" s="277">
        <f t="shared" si="41"/>
        <v>2.2000000000000002E-2</v>
      </c>
      <c r="P46" s="277">
        <f t="shared" si="42"/>
        <v>0</v>
      </c>
      <c r="Q46" s="277">
        <f t="shared" si="43"/>
        <v>0</v>
      </c>
      <c r="R46" s="277">
        <f t="shared" si="44"/>
        <v>0</v>
      </c>
      <c r="S46" s="277">
        <f t="shared" si="45"/>
        <v>3.3800000000000002E-3</v>
      </c>
      <c r="T46" s="294">
        <f t="shared" si="46"/>
        <v>2.5380000000000003E-2</v>
      </c>
      <c r="U46" s="277">
        <f t="shared" si="47"/>
        <v>-4.9700000000000005E-4</v>
      </c>
      <c r="V46" s="272"/>
      <c r="W46" s="272" t="s">
        <v>995</v>
      </c>
      <c r="X46" s="277">
        <f t="shared" si="48"/>
        <v>2.5380000000000003E-2</v>
      </c>
      <c r="Y46" s="277"/>
      <c r="Z46" s="277"/>
      <c r="AA46" s="277"/>
      <c r="AB46" s="539" t="s">
        <v>853</v>
      </c>
      <c r="AC46" s="295"/>
    </row>
    <row r="47" spans="2:29" x14ac:dyDescent="0.35">
      <c r="B47" s="272" t="str">
        <f t="shared" si="40"/>
        <v>Isolering_Glasuld Produktspecifik</v>
      </c>
      <c r="C47" s="276">
        <v>80</v>
      </c>
      <c r="D47" s="277">
        <v>2.79</v>
      </c>
      <c r="E47" s="277">
        <v>0</v>
      </c>
      <c r="F47" s="277">
        <v>0</v>
      </c>
      <c r="G47" s="277">
        <v>0</v>
      </c>
      <c r="H47" s="277">
        <v>0.55400000000000005</v>
      </c>
      <c r="I47" s="277">
        <f t="shared" ref="I47:I50" si="51">D47+G47+H47</f>
        <v>3.3440000000000003</v>
      </c>
      <c r="J47" s="277">
        <v>0</v>
      </c>
      <c r="K47" s="276" t="s">
        <v>288</v>
      </c>
      <c r="L47" s="276">
        <v>105</v>
      </c>
      <c r="M47" s="276">
        <v>3.5000000000000003E-2</v>
      </c>
      <c r="N47" s="272"/>
      <c r="O47" s="277">
        <f t="shared" ref="O47:O50" si="52">D47/L47</f>
        <v>2.6571428571428572E-2</v>
      </c>
      <c r="P47" s="277">
        <f t="shared" ref="P47:P50" si="53">E47/L47</f>
        <v>0</v>
      </c>
      <c r="Q47" s="277">
        <f t="shared" ref="Q47:Q50" si="54">F47/L47</f>
        <v>0</v>
      </c>
      <c r="R47" s="277">
        <f t="shared" ref="R47:R50" si="55">G47/L47</f>
        <v>0</v>
      </c>
      <c r="S47" s="277">
        <f t="shared" ref="S47:S50" si="56">H47/L47</f>
        <v>5.2761904761904769E-3</v>
      </c>
      <c r="T47" s="294">
        <f t="shared" ref="T47:T50" si="57">I47/L47</f>
        <v>3.1847619047619048E-2</v>
      </c>
      <c r="U47" s="277">
        <f t="shared" ref="U47:U50" si="58">J47/L47</f>
        <v>0</v>
      </c>
      <c r="V47" s="272"/>
      <c r="W47" s="272" t="s">
        <v>996</v>
      </c>
      <c r="X47" s="277">
        <f t="shared" ref="X47:X50" si="59">T47</f>
        <v>3.1847619047619048E-2</v>
      </c>
      <c r="Y47" s="277"/>
      <c r="Z47" s="277"/>
      <c r="AA47" s="277"/>
      <c r="AB47" s="539" t="s">
        <v>853</v>
      </c>
      <c r="AC47" s="295"/>
    </row>
    <row r="48" spans="2:29" x14ac:dyDescent="0.35">
      <c r="B48" s="272" t="str">
        <f t="shared" ref="B48" si="60">$B$32&amp;"_"&amp;W48</f>
        <v>Isolering_Genbrugs isolering</v>
      </c>
      <c r="C48" s="276">
        <v>50</v>
      </c>
      <c r="D48" s="277">
        <v>0</v>
      </c>
      <c r="E48" s="277">
        <v>0</v>
      </c>
      <c r="F48" s="277">
        <v>0</v>
      </c>
      <c r="G48" s="277">
        <v>0</v>
      </c>
      <c r="H48" s="277">
        <v>0</v>
      </c>
      <c r="I48" s="277">
        <f t="shared" ref="I48" si="61">D48+G48+H48</f>
        <v>0</v>
      </c>
      <c r="J48" s="277">
        <v>0</v>
      </c>
      <c r="K48" s="276" t="s">
        <v>270</v>
      </c>
      <c r="L48" s="276">
        <v>105</v>
      </c>
      <c r="M48" s="276">
        <v>0.04</v>
      </c>
      <c r="N48" s="272"/>
      <c r="O48" s="277">
        <f t="shared" ref="O48" si="62">D48/L48</f>
        <v>0</v>
      </c>
      <c r="P48" s="277">
        <f t="shared" ref="P48" si="63">E48/L48</f>
        <v>0</v>
      </c>
      <c r="Q48" s="277">
        <f t="shared" ref="Q48" si="64">F48/L48</f>
        <v>0</v>
      </c>
      <c r="R48" s="277">
        <f t="shared" ref="R48" si="65">G48/L48</f>
        <v>0</v>
      </c>
      <c r="S48" s="277">
        <f t="shared" ref="S48" si="66">H48/L48</f>
        <v>0</v>
      </c>
      <c r="T48" s="294">
        <f t="shared" ref="T48" si="67">I48/L48</f>
        <v>0</v>
      </c>
      <c r="U48" s="277">
        <f t="shared" ref="U48" si="68">J48/L48</f>
        <v>0</v>
      </c>
      <c r="V48" s="272"/>
      <c r="W48" s="272" t="s">
        <v>1002</v>
      </c>
      <c r="X48" s="277">
        <f t="shared" ref="X48" si="69">T48</f>
        <v>0</v>
      </c>
      <c r="Y48" s="277"/>
      <c r="Z48" s="277"/>
      <c r="AA48" s="277"/>
      <c r="AB48" s="539" t="s">
        <v>853</v>
      </c>
      <c r="AC48" s="295"/>
    </row>
    <row r="49" spans="2:29" x14ac:dyDescent="0.35">
      <c r="B49" s="272" t="str">
        <f>$B$32&amp;"_"&amp;W49</f>
        <v>Isolering_Brugerdefineret_1</v>
      </c>
      <c r="C49" s="650">
        <v>100</v>
      </c>
      <c r="D49" s="651">
        <v>0</v>
      </c>
      <c r="E49" s="651">
        <v>0</v>
      </c>
      <c r="F49" s="651">
        <v>0</v>
      </c>
      <c r="G49" s="651">
        <v>0</v>
      </c>
      <c r="H49" s="651">
        <v>0</v>
      </c>
      <c r="I49" s="651">
        <f t="shared" si="51"/>
        <v>0</v>
      </c>
      <c r="J49" s="651">
        <v>0</v>
      </c>
      <c r="K49" s="650" t="s">
        <v>288</v>
      </c>
      <c r="L49" s="650">
        <v>1</v>
      </c>
      <c r="M49" s="650">
        <v>0</v>
      </c>
      <c r="N49" s="272"/>
      <c r="O49" s="277">
        <f t="shared" si="52"/>
        <v>0</v>
      </c>
      <c r="P49" s="277">
        <f t="shared" si="53"/>
        <v>0</v>
      </c>
      <c r="Q49" s="277">
        <f t="shared" si="54"/>
        <v>0</v>
      </c>
      <c r="R49" s="277">
        <f t="shared" si="55"/>
        <v>0</v>
      </c>
      <c r="S49" s="277">
        <f t="shared" si="56"/>
        <v>0</v>
      </c>
      <c r="T49" s="294">
        <f t="shared" si="57"/>
        <v>0</v>
      </c>
      <c r="U49" s="277">
        <f t="shared" si="58"/>
        <v>0</v>
      </c>
      <c r="V49" s="272"/>
      <c r="W49" s="653" t="s">
        <v>280</v>
      </c>
      <c r="X49" s="277">
        <f t="shared" si="59"/>
        <v>0</v>
      </c>
      <c r="Y49" s="277"/>
      <c r="Z49" s="277"/>
      <c r="AA49" s="277"/>
      <c r="AB49" s="539" t="s">
        <v>853</v>
      </c>
      <c r="AC49" s="295"/>
    </row>
    <row r="50" spans="2:29" x14ac:dyDescent="0.35">
      <c r="B50" s="272" t="str">
        <f>$B$32&amp;"_"&amp;W50</f>
        <v>Isolering_Brugerdefineret_2</v>
      </c>
      <c r="C50" s="650">
        <v>100</v>
      </c>
      <c r="D50" s="651">
        <v>0</v>
      </c>
      <c r="E50" s="651">
        <v>0</v>
      </c>
      <c r="F50" s="651">
        <v>0</v>
      </c>
      <c r="G50" s="651">
        <v>0</v>
      </c>
      <c r="H50" s="651">
        <v>0</v>
      </c>
      <c r="I50" s="651">
        <f t="shared" si="51"/>
        <v>0</v>
      </c>
      <c r="J50" s="651">
        <v>0</v>
      </c>
      <c r="K50" s="650" t="s">
        <v>288</v>
      </c>
      <c r="L50" s="650">
        <v>1</v>
      </c>
      <c r="M50" s="650">
        <v>0</v>
      </c>
      <c r="N50" s="272"/>
      <c r="O50" s="277">
        <f t="shared" si="52"/>
        <v>0</v>
      </c>
      <c r="P50" s="277">
        <f t="shared" si="53"/>
        <v>0</v>
      </c>
      <c r="Q50" s="277">
        <f t="shared" si="54"/>
        <v>0</v>
      </c>
      <c r="R50" s="277">
        <f t="shared" si="55"/>
        <v>0</v>
      </c>
      <c r="S50" s="277">
        <f t="shared" si="56"/>
        <v>0</v>
      </c>
      <c r="T50" s="294">
        <f t="shared" si="57"/>
        <v>0</v>
      </c>
      <c r="U50" s="277">
        <f t="shared" si="58"/>
        <v>0</v>
      </c>
      <c r="V50" s="272"/>
      <c r="W50" s="653" t="s">
        <v>281</v>
      </c>
      <c r="X50" s="277">
        <f t="shared" si="59"/>
        <v>0</v>
      </c>
      <c r="Y50" s="277"/>
      <c r="Z50" s="277"/>
      <c r="AA50" s="277"/>
      <c r="AB50" s="274"/>
      <c r="AC50" s="295"/>
    </row>
    <row r="51" spans="2:29" x14ac:dyDescent="0.35">
      <c r="B51" s="272" t="str">
        <f t="shared" ref="B51" si="70">$B$32&amp;"_"&amp;W51</f>
        <v>Isolering_Brugerdefineret_3</v>
      </c>
      <c r="C51" s="650">
        <v>100</v>
      </c>
      <c r="D51" s="651">
        <v>0</v>
      </c>
      <c r="E51" s="651">
        <v>0</v>
      </c>
      <c r="F51" s="651">
        <v>0</v>
      </c>
      <c r="G51" s="651">
        <v>0</v>
      </c>
      <c r="H51" s="651">
        <v>0</v>
      </c>
      <c r="I51" s="651">
        <f t="shared" si="49"/>
        <v>0</v>
      </c>
      <c r="J51" s="651">
        <v>0</v>
      </c>
      <c r="K51" s="650" t="s">
        <v>288</v>
      </c>
      <c r="L51" s="650">
        <v>1</v>
      </c>
      <c r="M51" s="650">
        <v>0</v>
      </c>
      <c r="N51" s="272"/>
      <c r="O51" s="277">
        <f t="shared" si="41"/>
        <v>0</v>
      </c>
      <c r="P51" s="277">
        <f t="shared" si="42"/>
        <v>0</v>
      </c>
      <c r="Q51" s="277">
        <f t="shared" si="43"/>
        <v>0</v>
      </c>
      <c r="R51" s="277">
        <f t="shared" si="44"/>
        <v>0</v>
      </c>
      <c r="S51" s="277">
        <f t="shared" si="45"/>
        <v>0</v>
      </c>
      <c r="T51" s="294">
        <f t="shared" si="46"/>
        <v>0</v>
      </c>
      <c r="U51" s="277">
        <f t="shared" si="47"/>
        <v>0</v>
      </c>
      <c r="V51" s="272"/>
      <c r="W51" s="653" t="s">
        <v>282</v>
      </c>
      <c r="X51" s="277">
        <f t="shared" si="48"/>
        <v>0</v>
      </c>
      <c r="Y51" s="277"/>
      <c r="Z51" s="277"/>
      <c r="AA51" s="277"/>
      <c r="AB51" s="274"/>
      <c r="AC51" s="295"/>
    </row>
    <row r="52" spans="2:29" ht="25.5" customHeight="1" x14ac:dyDescent="0.35">
      <c r="B52" s="283" t="s">
        <v>296</v>
      </c>
      <c r="C52" s="268">
        <v>200</v>
      </c>
      <c r="D52" s="276"/>
      <c r="E52" s="276"/>
      <c r="F52" s="276"/>
      <c r="G52" s="276"/>
      <c r="H52" s="276"/>
      <c r="I52" s="277"/>
      <c r="J52" s="276"/>
      <c r="K52" s="272"/>
      <c r="L52" s="272"/>
      <c r="M52" s="272"/>
      <c r="N52" s="272"/>
      <c r="O52" s="272"/>
      <c r="P52" s="272"/>
      <c r="Q52" s="272"/>
      <c r="R52" s="272"/>
      <c r="S52" s="272"/>
      <c r="T52" s="272"/>
      <c r="U52" s="272"/>
      <c r="V52" s="272"/>
      <c r="W52" s="274" t="s">
        <v>103</v>
      </c>
      <c r="X52" s="275">
        <f t="shared" ref="X52:X65" si="71">T52</f>
        <v>0</v>
      </c>
      <c r="Y52" s="277"/>
      <c r="Z52" s="272"/>
      <c r="AA52" s="277"/>
      <c r="AB52" s="274"/>
      <c r="AC52" s="295"/>
    </row>
    <row r="53" spans="2:29" x14ac:dyDescent="0.35">
      <c r="B53" s="272" t="str">
        <f t="shared" ref="B53:B64" si="72">$B$52&amp;"_"&amp;W53</f>
        <v>Indvendig konstruktion_Betonelement C30/37</v>
      </c>
      <c r="C53" s="276">
        <v>120</v>
      </c>
      <c r="D53" s="277">
        <v>38.760156000000002</v>
      </c>
      <c r="E53" s="277">
        <v>0</v>
      </c>
      <c r="F53" s="277">
        <v>0</v>
      </c>
      <c r="G53" s="277">
        <v>0.80640000000000001</v>
      </c>
      <c r="H53" s="277">
        <v>0.60131090399999998</v>
      </c>
      <c r="I53" s="277">
        <f t="shared" ref="I53" si="73">D53+G53+H53</f>
        <v>40.167866904000007</v>
      </c>
      <c r="J53" s="277">
        <v>-3.3816000000000002</v>
      </c>
      <c r="K53" s="276" t="s">
        <v>270</v>
      </c>
      <c r="L53" s="276">
        <v>120</v>
      </c>
      <c r="M53" s="272"/>
      <c r="N53" s="272"/>
      <c r="O53" s="277">
        <f t="shared" ref="O53:O64" si="74">D53/L53</f>
        <v>0.32300129999999999</v>
      </c>
      <c r="P53" s="277">
        <f t="shared" ref="P53:P64" si="75">E53/L53</f>
        <v>0</v>
      </c>
      <c r="Q53" s="277">
        <f t="shared" ref="Q53:Q64" si="76">F53/L53</f>
        <v>0</v>
      </c>
      <c r="R53" s="277">
        <f t="shared" ref="R53:R64" si="77">G53/L53</f>
        <v>6.7200000000000003E-3</v>
      </c>
      <c r="S53" s="277">
        <f t="shared" ref="S53:S64" si="78">H53/L53</f>
        <v>5.0109242E-3</v>
      </c>
      <c r="T53" s="294">
        <f t="shared" ref="T53:T64" si="79">I53/L53</f>
        <v>0.33473222420000004</v>
      </c>
      <c r="U53" s="277">
        <f t="shared" ref="U53:U64" si="80">J53/L53</f>
        <v>-2.818E-2</v>
      </c>
      <c r="V53" s="272"/>
      <c r="W53" s="272" t="s">
        <v>297</v>
      </c>
      <c r="X53" s="277">
        <f t="shared" si="71"/>
        <v>0.33473222420000004</v>
      </c>
      <c r="Y53" s="277"/>
      <c r="Z53" s="272"/>
      <c r="AA53" s="277"/>
      <c r="AB53" s="274"/>
      <c r="AC53" s="295"/>
    </row>
    <row r="54" spans="2:29" x14ac:dyDescent="0.35">
      <c r="B54" s="272" t="str">
        <f t="shared" si="72"/>
        <v>Indvendig konstruktion_Stålskelet</v>
      </c>
      <c r="C54" s="276">
        <v>120</v>
      </c>
      <c r="D54" s="294">
        <v>2.8125</v>
      </c>
      <c r="E54" s="277">
        <v>0</v>
      </c>
      <c r="F54" s="277">
        <v>0</v>
      </c>
      <c r="G54" s="294">
        <v>4.6100000000000004E-3</v>
      </c>
      <c r="H54" s="277">
        <v>6.8207000000000006E-5</v>
      </c>
      <c r="I54" s="277">
        <f>D54+G54+H54</f>
        <v>2.817178207</v>
      </c>
      <c r="J54" s="277">
        <v>-1.0335000000000001</v>
      </c>
      <c r="K54" s="276" t="s">
        <v>270</v>
      </c>
      <c r="L54" s="276">
        <v>95</v>
      </c>
      <c r="M54" s="272"/>
      <c r="N54" s="272"/>
      <c r="O54" s="277">
        <f t="shared" si="74"/>
        <v>2.9605263157894735E-2</v>
      </c>
      <c r="P54" s="277">
        <f t="shared" si="75"/>
        <v>0</v>
      </c>
      <c r="Q54" s="277">
        <f t="shared" si="76"/>
        <v>0</v>
      </c>
      <c r="R54" s="277">
        <f t="shared" si="77"/>
        <v>4.8526315789473688E-5</v>
      </c>
      <c r="S54" s="277">
        <f t="shared" si="78"/>
        <v>7.1796842105263162E-7</v>
      </c>
      <c r="T54" s="294">
        <f t="shared" si="79"/>
        <v>2.9654507442105262E-2</v>
      </c>
      <c r="U54" s="277">
        <f t="shared" si="80"/>
        <v>-1.0878947368421054E-2</v>
      </c>
      <c r="V54" s="272"/>
      <c r="W54" s="272" t="s">
        <v>298</v>
      </c>
      <c r="X54" s="277">
        <f t="shared" si="71"/>
        <v>2.9654507442105262E-2</v>
      </c>
      <c r="Y54" s="277"/>
      <c r="Z54" s="272"/>
      <c r="AA54" s="277"/>
      <c r="AB54" s="274"/>
      <c r="AC54" s="295"/>
    </row>
    <row r="55" spans="2:29" x14ac:dyDescent="0.35">
      <c r="B55" s="272" t="str">
        <f t="shared" si="72"/>
        <v>Indvendig konstruktion_Træskelet</v>
      </c>
      <c r="C55" s="276">
        <v>100</v>
      </c>
      <c r="D55" s="277">
        <v>-13.736000000000001</v>
      </c>
      <c r="E55" s="277">
        <v>0</v>
      </c>
      <c r="F55" s="277">
        <v>0</v>
      </c>
      <c r="G55" s="277">
        <v>14.7056</v>
      </c>
      <c r="H55" s="277">
        <v>3.4103500000000003E-5</v>
      </c>
      <c r="I55" s="277">
        <f>D55+G55+H55</f>
        <v>0.96963410349999979</v>
      </c>
      <c r="J55" s="277">
        <v>-7.4942000000000002</v>
      </c>
      <c r="K55" s="276" t="s">
        <v>270</v>
      </c>
      <c r="L55" s="276">
        <v>95</v>
      </c>
      <c r="M55" s="272"/>
      <c r="N55" s="272"/>
      <c r="O55" s="277">
        <f t="shared" si="74"/>
        <v>-0.14458947368421055</v>
      </c>
      <c r="P55" s="277">
        <f t="shared" si="75"/>
        <v>0</v>
      </c>
      <c r="Q55" s="277">
        <f t="shared" si="76"/>
        <v>0</v>
      </c>
      <c r="R55" s="277">
        <f t="shared" si="77"/>
        <v>0.15479578947368422</v>
      </c>
      <c r="S55" s="277">
        <f t="shared" si="78"/>
        <v>3.5898421052631581E-7</v>
      </c>
      <c r="T55" s="294">
        <f t="shared" si="79"/>
        <v>1.0206674773684208E-2</v>
      </c>
      <c r="U55" s="277">
        <f t="shared" si="80"/>
        <v>-7.8886315789473679E-2</v>
      </c>
      <c r="V55" s="272"/>
      <c r="W55" s="272" t="s">
        <v>107</v>
      </c>
      <c r="X55" s="277">
        <f t="shared" si="71"/>
        <v>1.0206674773684208E-2</v>
      </c>
      <c r="Y55" s="277">
        <v>9.2111999999999998</v>
      </c>
      <c r="Z55" s="272"/>
      <c r="AA55" s="282">
        <f>Y55/L55</f>
        <v>9.6960000000000005E-2</v>
      </c>
      <c r="AB55" s="274"/>
      <c r="AC55" s="295"/>
    </row>
    <row r="56" spans="2:29" ht="15" customHeight="1" x14ac:dyDescent="0.35">
      <c r="B56" s="272" t="str">
        <f t="shared" si="72"/>
        <v>Indvendig konstruktion_CLT</v>
      </c>
      <c r="C56" s="276">
        <v>100</v>
      </c>
      <c r="D56" s="277">
        <v>-66.400000000000006</v>
      </c>
      <c r="E56" s="277">
        <v>0</v>
      </c>
      <c r="F56" s="277">
        <v>0</v>
      </c>
      <c r="G56" s="277">
        <v>74.400000000000006</v>
      </c>
      <c r="H56" s="277">
        <v>0</v>
      </c>
      <c r="I56" s="277">
        <f>D56+G56+H56</f>
        <v>8</v>
      </c>
      <c r="J56" s="277">
        <v>-38.700000000000003</v>
      </c>
      <c r="K56" s="276" t="s">
        <v>270</v>
      </c>
      <c r="L56" s="276">
        <v>100</v>
      </c>
      <c r="M56" s="272"/>
      <c r="N56" s="272"/>
      <c r="O56" s="277">
        <f t="shared" si="74"/>
        <v>-0.66400000000000003</v>
      </c>
      <c r="P56" s="277">
        <f t="shared" si="75"/>
        <v>0</v>
      </c>
      <c r="Q56" s="277">
        <f t="shared" si="76"/>
        <v>0</v>
      </c>
      <c r="R56" s="277">
        <f t="shared" si="77"/>
        <v>0.74400000000000011</v>
      </c>
      <c r="S56" s="277">
        <f t="shared" si="78"/>
        <v>0</v>
      </c>
      <c r="T56" s="294">
        <f t="shared" si="79"/>
        <v>0.08</v>
      </c>
      <c r="U56" s="277">
        <f t="shared" si="80"/>
        <v>-0.38700000000000001</v>
      </c>
      <c r="V56" s="272"/>
      <c r="W56" s="272" t="s">
        <v>299</v>
      </c>
      <c r="X56" s="277">
        <f t="shared" si="71"/>
        <v>0.08</v>
      </c>
      <c r="Y56" s="277">
        <v>47</v>
      </c>
      <c r="Z56" s="272"/>
      <c r="AA56" s="282">
        <f>Y56/L56</f>
        <v>0.47</v>
      </c>
      <c r="AB56" s="274"/>
      <c r="AC56" s="295"/>
    </row>
    <row r="57" spans="2:29" x14ac:dyDescent="0.35">
      <c r="B57" s="272" t="str">
        <f t="shared" si="72"/>
        <v>Indvendig konstruktion_Tegl</v>
      </c>
      <c r="C57" s="276">
        <v>100</v>
      </c>
      <c r="D57" s="277">
        <v>76.342703999999998</v>
      </c>
      <c r="E57" s="277">
        <v>0</v>
      </c>
      <c r="F57" s="277">
        <v>0</v>
      </c>
      <c r="G57" s="277">
        <v>1.426356</v>
      </c>
      <c r="H57" s="277">
        <v>0.90851835000000003</v>
      </c>
      <c r="I57" s="277">
        <f t="shared" ref="I57:I64" si="81">D57+G57+H57</f>
        <v>78.67757834999999</v>
      </c>
      <c r="J57" s="277">
        <v>-0.55776073500000001</v>
      </c>
      <c r="K57" s="276" t="s">
        <v>270</v>
      </c>
      <c r="L57" s="276">
        <v>108</v>
      </c>
      <c r="M57" s="272"/>
      <c r="N57" s="272"/>
      <c r="O57" s="277">
        <f t="shared" si="74"/>
        <v>0.70687688888888889</v>
      </c>
      <c r="P57" s="277">
        <f t="shared" si="75"/>
        <v>0</v>
      </c>
      <c r="Q57" s="277">
        <f t="shared" si="76"/>
        <v>0</v>
      </c>
      <c r="R57" s="277">
        <f t="shared" si="77"/>
        <v>1.3207E-2</v>
      </c>
      <c r="S57" s="277">
        <f t="shared" si="78"/>
        <v>8.4122069444444447E-3</v>
      </c>
      <c r="T57" s="294">
        <f t="shared" si="79"/>
        <v>0.72849609583333319</v>
      </c>
      <c r="U57" s="277">
        <f t="shared" si="80"/>
        <v>-5.1644512500000003E-3</v>
      </c>
      <c r="V57" s="272"/>
      <c r="W57" s="272" t="s">
        <v>271</v>
      </c>
      <c r="X57" s="277">
        <f t="shared" si="71"/>
        <v>0.72849609583333319</v>
      </c>
      <c r="Y57" s="277"/>
      <c r="Z57" s="272"/>
      <c r="AA57" s="277"/>
      <c r="AB57" s="274"/>
      <c r="AC57" s="295"/>
    </row>
    <row r="58" spans="2:29" x14ac:dyDescent="0.35">
      <c r="B58" s="272" t="str">
        <f t="shared" si="72"/>
        <v>Indvendig konstruktion_Porebeton</v>
      </c>
      <c r="C58" s="276">
        <v>100</v>
      </c>
      <c r="D58" s="277">
        <v>21.519304000000002</v>
      </c>
      <c r="E58" s="277">
        <v>0</v>
      </c>
      <c r="F58" s="277">
        <v>0</v>
      </c>
      <c r="G58" s="277">
        <v>0.25557999999999997</v>
      </c>
      <c r="H58" s="277">
        <v>3.2739359999999999E-3</v>
      </c>
      <c r="I58" s="277">
        <f t="shared" si="81"/>
        <v>21.778157935999999</v>
      </c>
      <c r="J58" s="277">
        <v>-1.9644512999999999</v>
      </c>
      <c r="K58" s="276" t="s">
        <v>270</v>
      </c>
      <c r="L58" s="276">
        <v>100</v>
      </c>
      <c r="M58" s="272"/>
      <c r="N58" s="272"/>
      <c r="O58" s="277">
        <f t="shared" si="74"/>
        <v>0.21519304000000003</v>
      </c>
      <c r="P58" s="277">
        <f t="shared" si="75"/>
        <v>0</v>
      </c>
      <c r="Q58" s="277">
        <f t="shared" si="76"/>
        <v>0</v>
      </c>
      <c r="R58" s="277">
        <f t="shared" si="77"/>
        <v>2.5557999999999996E-3</v>
      </c>
      <c r="S58" s="277">
        <f t="shared" si="78"/>
        <v>3.2739359999999998E-5</v>
      </c>
      <c r="T58" s="294">
        <f t="shared" si="79"/>
        <v>0.21778157936</v>
      </c>
      <c r="U58" s="277">
        <f t="shared" si="80"/>
        <v>-1.9644512999999999E-2</v>
      </c>
      <c r="V58" s="272"/>
      <c r="W58" s="272" t="s">
        <v>300</v>
      </c>
      <c r="X58" s="277">
        <f t="shared" si="71"/>
        <v>0.21778157936</v>
      </c>
      <c r="Y58" s="277"/>
      <c r="Z58" s="272"/>
      <c r="AA58" s="277"/>
      <c r="AB58" s="274"/>
      <c r="AC58" s="295"/>
    </row>
    <row r="59" spans="2:29" x14ac:dyDescent="0.35">
      <c r="B59" s="272" t="str">
        <f t="shared" si="72"/>
        <v>Indvendig konstruktion_Tegl genbrugte</v>
      </c>
      <c r="C59" s="276">
        <v>100</v>
      </c>
      <c r="D59" s="277">
        <v>4.7225790720000003</v>
      </c>
      <c r="E59" s="277">
        <v>0</v>
      </c>
      <c r="F59" s="277">
        <v>0</v>
      </c>
      <c r="G59" s="277">
        <v>0.51768720000000001</v>
      </c>
      <c r="H59" s="277">
        <v>0.19800789120000001</v>
      </c>
      <c r="I59" s="277">
        <f t="shared" si="81"/>
        <v>5.4382741632</v>
      </c>
      <c r="J59" s="277">
        <v>-3.4537103999999999E-2</v>
      </c>
      <c r="K59" s="276" t="s">
        <v>270</v>
      </c>
      <c r="L59" s="276">
        <v>108</v>
      </c>
      <c r="M59" s="272"/>
      <c r="N59" s="272"/>
      <c r="O59" s="277">
        <f t="shared" si="74"/>
        <v>4.3727584E-2</v>
      </c>
      <c r="P59" s="277">
        <f t="shared" si="75"/>
        <v>0</v>
      </c>
      <c r="Q59" s="277">
        <f t="shared" si="76"/>
        <v>0</v>
      </c>
      <c r="R59" s="277">
        <f t="shared" si="77"/>
        <v>4.7933999999999997E-3</v>
      </c>
      <c r="S59" s="277">
        <f t="shared" si="78"/>
        <v>1.8334064E-3</v>
      </c>
      <c r="T59" s="294">
        <f t="shared" si="79"/>
        <v>5.0354390399999997E-2</v>
      </c>
      <c r="U59" s="277">
        <f t="shared" si="80"/>
        <v>-3.19788E-4</v>
      </c>
      <c r="V59" s="272"/>
      <c r="W59" s="272" t="s">
        <v>272</v>
      </c>
      <c r="X59" s="277">
        <f t="shared" si="71"/>
        <v>5.0354390399999997E-2</v>
      </c>
      <c r="Y59" s="277"/>
      <c r="Z59" s="272"/>
      <c r="AA59" s="277"/>
      <c r="AB59" s="274"/>
      <c r="AC59" s="295"/>
    </row>
    <row r="60" spans="2:29" x14ac:dyDescent="0.35">
      <c r="B60" s="272" t="str">
        <f t="shared" si="72"/>
        <v>Indvendig konstruktion_Teglblokke</v>
      </c>
      <c r="C60" s="284">
        <v>100</v>
      </c>
      <c r="D60" s="277">
        <v>28.342666640000001</v>
      </c>
      <c r="E60" s="277">
        <v>0</v>
      </c>
      <c r="F60" s="277">
        <v>0</v>
      </c>
      <c r="G60" s="277">
        <v>0.6603500000000001</v>
      </c>
      <c r="H60" s="277">
        <v>9.0360743999999993E-2</v>
      </c>
      <c r="I60" s="277">
        <f t="shared" si="81"/>
        <v>29.093377384000004</v>
      </c>
      <c r="J60" s="277">
        <v>-0.20061947999999999</v>
      </c>
      <c r="K60" s="277" t="s">
        <v>270</v>
      </c>
      <c r="L60" s="284">
        <v>115</v>
      </c>
      <c r="M60" s="272"/>
      <c r="N60" s="272"/>
      <c r="O60" s="277">
        <f t="shared" si="74"/>
        <v>0.2464579707826087</v>
      </c>
      <c r="P60" s="277">
        <f t="shared" si="75"/>
        <v>0</v>
      </c>
      <c r="Q60" s="277">
        <f t="shared" si="76"/>
        <v>0</v>
      </c>
      <c r="R60" s="277">
        <f t="shared" si="77"/>
        <v>5.7421739130434791E-3</v>
      </c>
      <c r="S60" s="277">
        <f t="shared" si="78"/>
        <v>7.857455999999999E-4</v>
      </c>
      <c r="T60" s="277">
        <f t="shared" si="79"/>
        <v>0.25298589029565222</v>
      </c>
      <c r="U60" s="277">
        <f t="shared" si="80"/>
        <v>-1.7445172173913043E-3</v>
      </c>
      <c r="V60" s="272"/>
      <c r="W60" s="272" t="str">
        <f>W189</f>
        <v>Teglblokke</v>
      </c>
      <c r="X60" s="277">
        <f t="shared" si="71"/>
        <v>0.25298589029565222</v>
      </c>
      <c r="Y60" s="277"/>
      <c r="Z60" s="272"/>
      <c r="AA60" s="277"/>
      <c r="AB60" s="274"/>
      <c r="AC60" s="295"/>
    </row>
    <row r="61" spans="2:29" x14ac:dyDescent="0.35">
      <c r="B61" s="272" t="str">
        <f t="shared" ref="B61" si="82">$B$52&amp;"_"&amp;W61</f>
        <v>Indvendig konstruktion_Genbrugs konstruktion</v>
      </c>
      <c r="C61" s="284">
        <v>50</v>
      </c>
      <c r="D61" s="277">
        <v>0</v>
      </c>
      <c r="E61" s="277">
        <v>0</v>
      </c>
      <c r="F61" s="277">
        <v>0</v>
      </c>
      <c r="G61" s="277">
        <v>0</v>
      </c>
      <c r="H61" s="277">
        <v>0</v>
      </c>
      <c r="I61" s="277">
        <f t="shared" ref="I61" si="83">D61+G61+H61</f>
        <v>0</v>
      </c>
      <c r="J61" s="277">
        <v>0</v>
      </c>
      <c r="K61" s="277" t="s">
        <v>270</v>
      </c>
      <c r="L61" s="284">
        <v>1</v>
      </c>
      <c r="M61" s="272"/>
      <c r="N61" s="272"/>
      <c r="O61" s="277">
        <f t="shared" ref="O61" si="84">D61/L61</f>
        <v>0</v>
      </c>
      <c r="P61" s="277">
        <f t="shared" ref="P61" si="85">E61/L61</f>
        <v>0</v>
      </c>
      <c r="Q61" s="277">
        <f t="shared" ref="Q61" si="86">F61/L61</f>
        <v>0</v>
      </c>
      <c r="R61" s="277">
        <f t="shared" ref="R61" si="87">G61/L61</f>
        <v>0</v>
      </c>
      <c r="S61" s="277">
        <f t="shared" ref="S61" si="88">H61/L61</f>
        <v>0</v>
      </c>
      <c r="T61" s="277">
        <f t="shared" ref="T61" si="89">I61/L61</f>
        <v>0</v>
      </c>
      <c r="U61" s="277">
        <f t="shared" ref="U61" si="90">J61/L61</f>
        <v>0</v>
      </c>
      <c r="V61" s="272"/>
      <c r="W61" s="272" t="s">
        <v>1005</v>
      </c>
      <c r="X61" s="277">
        <f t="shared" ref="X61" si="91">T61</f>
        <v>0</v>
      </c>
      <c r="Y61" s="277"/>
      <c r="Z61" s="272"/>
      <c r="AA61" s="277"/>
      <c r="AB61" s="274"/>
      <c r="AC61" s="295"/>
    </row>
    <row r="62" spans="2:29" x14ac:dyDescent="0.35">
      <c r="B62" s="272" t="str">
        <f t="shared" ref="B62" si="92">$B$52&amp;"_"&amp;W62</f>
        <v>Indvendig konstruktion_Brugerdefineret_1</v>
      </c>
      <c r="C62" s="650">
        <v>100</v>
      </c>
      <c r="D62" s="651">
        <v>0</v>
      </c>
      <c r="E62" s="651">
        <v>0</v>
      </c>
      <c r="F62" s="651">
        <v>0</v>
      </c>
      <c r="G62" s="651">
        <v>0</v>
      </c>
      <c r="H62" s="651">
        <v>0</v>
      </c>
      <c r="I62" s="651">
        <f t="shared" ref="I62" si="93">D62+G62+H62</f>
        <v>0</v>
      </c>
      <c r="J62" s="651">
        <v>0</v>
      </c>
      <c r="K62" s="650"/>
      <c r="L62" s="650">
        <v>1</v>
      </c>
      <c r="M62" s="272"/>
      <c r="N62" s="272"/>
      <c r="O62" s="277">
        <f t="shared" ref="O62" si="94">D62/L62</f>
        <v>0</v>
      </c>
      <c r="P62" s="277">
        <f t="shared" ref="P62" si="95">E62/L62</f>
        <v>0</v>
      </c>
      <c r="Q62" s="277">
        <f t="shared" ref="Q62" si="96">F62/L62</f>
        <v>0</v>
      </c>
      <c r="R62" s="277">
        <f t="shared" ref="R62" si="97">G62/L62</f>
        <v>0</v>
      </c>
      <c r="S62" s="277">
        <f t="shared" ref="S62" si="98">H62/L62</f>
        <v>0</v>
      </c>
      <c r="T62" s="294">
        <f t="shared" ref="T62" si="99">I62/L62</f>
        <v>0</v>
      </c>
      <c r="U62" s="277">
        <f t="shared" ref="U62" si="100">J62/L62</f>
        <v>0</v>
      </c>
      <c r="V62" s="272"/>
      <c r="W62" s="653" t="s">
        <v>280</v>
      </c>
      <c r="X62" s="277">
        <f>T62</f>
        <v>0</v>
      </c>
      <c r="Y62" s="277"/>
      <c r="Z62" s="272"/>
      <c r="AA62" s="277"/>
      <c r="AB62" s="274"/>
      <c r="AC62" s="295"/>
    </row>
    <row r="63" spans="2:29" x14ac:dyDescent="0.35">
      <c r="B63" s="272" t="str">
        <f t="shared" si="72"/>
        <v>Indvendig konstruktion_Brugerdefineret_2</v>
      </c>
      <c r="C63" s="650">
        <v>100</v>
      </c>
      <c r="D63" s="651">
        <v>0</v>
      </c>
      <c r="E63" s="651">
        <v>0</v>
      </c>
      <c r="F63" s="651">
        <v>0</v>
      </c>
      <c r="G63" s="651">
        <v>0</v>
      </c>
      <c r="H63" s="651">
        <v>0</v>
      </c>
      <c r="I63" s="651">
        <f t="shared" si="81"/>
        <v>0</v>
      </c>
      <c r="J63" s="651">
        <v>0</v>
      </c>
      <c r="K63" s="650"/>
      <c r="L63" s="650">
        <v>1</v>
      </c>
      <c r="M63" s="272"/>
      <c r="N63" s="272"/>
      <c r="O63" s="277">
        <f t="shared" si="74"/>
        <v>0</v>
      </c>
      <c r="P63" s="277">
        <f t="shared" si="75"/>
        <v>0</v>
      </c>
      <c r="Q63" s="277">
        <f t="shared" si="76"/>
        <v>0</v>
      </c>
      <c r="R63" s="277">
        <f t="shared" si="77"/>
        <v>0</v>
      </c>
      <c r="S63" s="277">
        <f t="shared" si="78"/>
        <v>0</v>
      </c>
      <c r="T63" s="294">
        <f t="shared" si="79"/>
        <v>0</v>
      </c>
      <c r="U63" s="277">
        <f t="shared" si="80"/>
        <v>0</v>
      </c>
      <c r="V63" s="272"/>
      <c r="W63" s="653" t="s">
        <v>281</v>
      </c>
      <c r="X63" s="277">
        <f t="shared" si="71"/>
        <v>0</v>
      </c>
      <c r="Y63" s="277"/>
      <c r="Z63" s="272"/>
      <c r="AA63" s="277"/>
      <c r="AB63" s="274"/>
      <c r="AC63" s="295"/>
    </row>
    <row r="64" spans="2:29" x14ac:dyDescent="0.35">
      <c r="B64" s="272" t="str">
        <f t="shared" si="72"/>
        <v>Indvendig konstruktion_Brugerdefineret_3</v>
      </c>
      <c r="C64" s="650">
        <v>100</v>
      </c>
      <c r="D64" s="651">
        <v>0</v>
      </c>
      <c r="E64" s="651">
        <v>0</v>
      </c>
      <c r="F64" s="651">
        <v>0</v>
      </c>
      <c r="G64" s="651">
        <v>0</v>
      </c>
      <c r="H64" s="651">
        <v>0</v>
      </c>
      <c r="I64" s="651">
        <f t="shared" si="81"/>
        <v>0</v>
      </c>
      <c r="J64" s="651">
        <v>0</v>
      </c>
      <c r="K64" s="650"/>
      <c r="L64" s="650">
        <v>1</v>
      </c>
      <c r="M64" s="272"/>
      <c r="N64" s="272"/>
      <c r="O64" s="277">
        <f t="shared" si="74"/>
        <v>0</v>
      </c>
      <c r="P64" s="277">
        <f t="shared" si="75"/>
        <v>0</v>
      </c>
      <c r="Q64" s="277">
        <f t="shared" si="76"/>
        <v>0</v>
      </c>
      <c r="R64" s="277">
        <f t="shared" si="77"/>
        <v>0</v>
      </c>
      <c r="S64" s="277">
        <f t="shared" si="78"/>
        <v>0</v>
      </c>
      <c r="T64" s="294">
        <f t="shared" si="79"/>
        <v>0</v>
      </c>
      <c r="U64" s="277">
        <f t="shared" si="80"/>
        <v>0</v>
      </c>
      <c r="V64" s="272"/>
      <c r="W64" s="653" t="s">
        <v>282</v>
      </c>
      <c r="X64" s="277">
        <f t="shared" si="71"/>
        <v>0</v>
      </c>
      <c r="Y64" s="277"/>
      <c r="Z64" s="272"/>
      <c r="AA64" s="277"/>
      <c r="AB64" s="274"/>
      <c r="AC64" s="295"/>
    </row>
    <row r="65" spans="2:29" ht="23.5" x14ac:dyDescent="0.55000000000000004">
      <c r="B65" s="281" t="s">
        <v>301</v>
      </c>
      <c r="C65" s="272"/>
      <c r="D65" s="272"/>
      <c r="E65" s="272"/>
      <c r="F65" s="272"/>
      <c r="G65" s="272"/>
      <c r="H65" s="272"/>
      <c r="I65" s="277"/>
      <c r="J65" s="272"/>
      <c r="K65" s="272"/>
      <c r="L65" s="272"/>
      <c r="M65" s="272"/>
      <c r="N65" s="272"/>
      <c r="O65" s="272"/>
      <c r="P65" s="272"/>
      <c r="Q65" s="272"/>
      <c r="R65" s="272"/>
      <c r="S65" s="272"/>
      <c r="T65" s="272"/>
      <c r="U65" s="272"/>
      <c r="V65" s="272"/>
      <c r="W65" s="274" t="s">
        <v>302</v>
      </c>
      <c r="X65" s="275">
        <f t="shared" si="71"/>
        <v>0</v>
      </c>
      <c r="Y65" s="277"/>
      <c r="Z65" s="272"/>
      <c r="AA65" s="277"/>
      <c r="AB65" s="274"/>
      <c r="AC65" s="295"/>
    </row>
    <row r="66" spans="2:29" x14ac:dyDescent="0.35">
      <c r="B66" s="271"/>
      <c r="C66" s="268">
        <v>200</v>
      </c>
      <c r="D66" s="272"/>
      <c r="E66" s="272"/>
      <c r="F66" s="272"/>
      <c r="G66" s="272"/>
      <c r="H66" s="272"/>
      <c r="I66" s="277"/>
      <c r="J66" s="272"/>
      <c r="K66" s="272"/>
      <c r="L66" s="272"/>
      <c r="M66" s="272"/>
      <c r="N66" s="272"/>
      <c r="O66" s="272"/>
      <c r="P66" s="272"/>
      <c r="Q66" s="272"/>
      <c r="R66" s="272"/>
      <c r="S66" s="272"/>
      <c r="T66" s="272"/>
      <c r="U66" s="272"/>
      <c r="V66" s="272"/>
      <c r="W66" s="274" t="s">
        <v>103</v>
      </c>
      <c r="X66" s="275"/>
      <c r="Y66" s="277"/>
      <c r="Z66" s="272"/>
      <c r="AA66" s="277"/>
      <c r="AB66" s="274"/>
      <c r="AC66" s="295"/>
    </row>
    <row r="67" spans="2:29" x14ac:dyDescent="0.35">
      <c r="B67" s="272" t="str">
        <f>$B$65&amp;"_"&amp;W67</f>
        <v>Indvendig beklædning_Gips</v>
      </c>
      <c r="C67" s="284">
        <v>50</v>
      </c>
      <c r="D67" s="277">
        <v>1.623</v>
      </c>
      <c r="E67" s="277">
        <v>0</v>
      </c>
      <c r="F67" s="277">
        <v>0</v>
      </c>
      <c r="G67" s="277">
        <v>0</v>
      </c>
      <c r="H67" s="277">
        <v>0.15010000000000001</v>
      </c>
      <c r="I67" s="277">
        <f>D67+G67+H67</f>
        <v>1.7730999999999999</v>
      </c>
      <c r="J67" s="277">
        <v>0</v>
      </c>
      <c r="K67" s="276" t="s">
        <v>270</v>
      </c>
      <c r="L67" s="276">
        <v>13</v>
      </c>
      <c r="M67" s="272"/>
      <c r="N67" s="272"/>
      <c r="O67" s="277">
        <f t="shared" ref="O67:O76" si="101">D67/L67</f>
        <v>0.12484615384615384</v>
      </c>
      <c r="P67" s="277">
        <f t="shared" ref="P67:P76" si="102">E67/L67</f>
        <v>0</v>
      </c>
      <c r="Q67" s="277">
        <f t="shared" ref="Q67:Q76" si="103">F67/L67</f>
        <v>0</v>
      </c>
      <c r="R67" s="277">
        <f t="shared" ref="R67:R76" si="104">G67/L67</f>
        <v>0</v>
      </c>
      <c r="S67" s="277">
        <f t="shared" ref="S67:S76" si="105">H67/L67</f>
        <v>1.1546153846153847E-2</v>
      </c>
      <c r="T67" s="277">
        <f t="shared" ref="T67:T76" si="106">I67/L67</f>
        <v>0.13639230769230767</v>
      </c>
      <c r="U67" s="277">
        <f t="shared" ref="U67:U76" si="107">J67/L67</f>
        <v>0</v>
      </c>
      <c r="V67" s="272"/>
      <c r="W67" s="272" t="s">
        <v>108</v>
      </c>
      <c r="X67" s="277">
        <f t="shared" ref="X67:X76" si="108">T67</f>
        <v>0.13639230769230767</v>
      </c>
      <c r="Y67" s="277"/>
      <c r="Z67" s="277"/>
      <c r="AA67" s="277"/>
      <c r="AB67" s="274"/>
      <c r="AC67" s="540">
        <f>I67</f>
        <v>1.7730999999999999</v>
      </c>
    </row>
    <row r="68" spans="2:29" x14ac:dyDescent="0.35">
      <c r="B68" s="272" t="str">
        <f>$B$65&amp;"_"&amp;W68</f>
        <v>Indvendig beklædning_Fibergips</v>
      </c>
      <c r="C68" s="284">
        <v>50</v>
      </c>
      <c r="D68" s="277">
        <v>6.3719999999999999</v>
      </c>
      <c r="E68" s="277">
        <v>0</v>
      </c>
      <c r="F68" s="277">
        <v>0</v>
      </c>
      <c r="G68" s="277">
        <v>0</v>
      </c>
      <c r="H68" s="277">
        <v>0.30009999999999998</v>
      </c>
      <c r="I68" s="277">
        <f>D68+G68+H68</f>
        <v>6.6720999999999995</v>
      </c>
      <c r="J68" s="277">
        <v>0</v>
      </c>
      <c r="K68" s="276" t="s">
        <v>270</v>
      </c>
      <c r="L68" s="276">
        <v>20</v>
      </c>
      <c r="M68" s="272"/>
      <c r="N68" s="272"/>
      <c r="O68" s="277">
        <f t="shared" si="101"/>
        <v>0.31859999999999999</v>
      </c>
      <c r="P68" s="277">
        <f t="shared" si="102"/>
        <v>0</v>
      </c>
      <c r="Q68" s="277">
        <f t="shared" si="103"/>
        <v>0</v>
      </c>
      <c r="R68" s="277">
        <f t="shared" si="104"/>
        <v>0</v>
      </c>
      <c r="S68" s="277">
        <f t="shared" si="105"/>
        <v>1.5004999999999999E-2</v>
      </c>
      <c r="T68" s="277">
        <f t="shared" si="106"/>
        <v>0.33360499999999998</v>
      </c>
      <c r="U68" s="277">
        <f t="shared" si="107"/>
        <v>0</v>
      </c>
      <c r="V68" s="272"/>
      <c r="W68" s="272" t="s">
        <v>303</v>
      </c>
      <c r="X68" s="277">
        <f t="shared" si="108"/>
        <v>0.33360499999999998</v>
      </c>
      <c r="Y68" s="277"/>
      <c r="Z68" s="277"/>
      <c r="AA68" s="277"/>
      <c r="AB68" s="274"/>
      <c r="AC68" s="540">
        <f t="shared" ref="AC68:AC76" si="109">I68</f>
        <v>6.6720999999999995</v>
      </c>
    </row>
    <row r="69" spans="2:29" ht="16.5" x14ac:dyDescent="0.35">
      <c r="B69" s="272" t="str">
        <f>$B$65&amp;"_"&amp;W69</f>
        <v>Indvendig beklædning_Krydsfiner</v>
      </c>
      <c r="C69" s="284">
        <v>50</v>
      </c>
      <c r="D69" s="277">
        <v>-7.1879999999999997</v>
      </c>
      <c r="E69" s="277">
        <v>0</v>
      </c>
      <c r="F69" s="277">
        <v>0</v>
      </c>
      <c r="G69" s="277">
        <v>8.9160000000000004</v>
      </c>
      <c r="H69" s="277">
        <v>2.9192519999999998E-3</v>
      </c>
      <c r="I69" s="277">
        <f t="shared" ref="I69:I76" si="110">D69+G69+H69</f>
        <v>1.7309192520000007</v>
      </c>
      <c r="J69" s="277">
        <v>-4.6920000000000002</v>
      </c>
      <c r="K69" s="276" t="s">
        <v>270</v>
      </c>
      <c r="L69" s="276">
        <v>12</v>
      </c>
      <c r="M69" s="272"/>
      <c r="N69" s="272"/>
      <c r="O69" s="277">
        <f t="shared" si="101"/>
        <v>-0.59899999999999998</v>
      </c>
      <c r="P69" s="277">
        <f t="shared" si="102"/>
        <v>0</v>
      </c>
      <c r="Q69" s="277">
        <f t="shared" si="103"/>
        <v>0</v>
      </c>
      <c r="R69" s="277">
        <f t="shared" si="104"/>
        <v>0.74299999999999999</v>
      </c>
      <c r="S69" s="277">
        <f t="shared" si="105"/>
        <v>2.4327099999999998E-4</v>
      </c>
      <c r="T69" s="277">
        <f t="shared" si="106"/>
        <v>0.14424327100000006</v>
      </c>
      <c r="U69" s="277">
        <f t="shared" si="107"/>
        <v>-0.39100000000000001</v>
      </c>
      <c r="V69" s="272"/>
      <c r="W69" s="272" t="s">
        <v>109</v>
      </c>
      <c r="X69" s="277">
        <f t="shared" si="108"/>
        <v>0.14424327100000006</v>
      </c>
      <c r="Y69" s="277">
        <v>5.76</v>
      </c>
      <c r="Z69" s="277" t="s">
        <v>856</v>
      </c>
      <c r="AA69" s="282">
        <f>Y69/L69</f>
        <v>0.48</v>
      </c>
      <c r="AB69" s="274"/>
      <c r="AC69" s="540">
        <f t="shared" si="109"/>
        <v>1.7309192520000007</v>
      </c>
    </row>
    <row r="70" spans="2:29" ht="16.5" x14ac:dyDescent="0.35">
      <c r="B70" s="272" t="str">
        <f>$B$65&amp;"_"&amp;W70</f>
        <v>Indvendig beklædning_Trælameller</v>
      </c>
      <c r="C70" s="284">
        <v>50</v>
      </c>
      <c r="D70" s="277">
        <v>-22.31</v>
      </c>
      <c r="E70" s="277">
        <v>0</v>
      </c>
      <c r="F70" s="277">
        <v>0</v>
      </c>
      <c r="G70" s="277">
        <v>31.54</v>
      </c>
      <c r="H70" s="277">
        <v>1.7979999999999999E-2</v>
      </c>
      <c r="I70" s="277">
        <f t="shared" si="110"/>
        <v>9.2479800000000001</v>
      </c>
      <c r="J70" s="277">
        <v>-8.9499999999999993</v>
      </c>
      <c r="K70" s="276" t="s">
        <v>270</v>
      </c>
      <c r="L70" s="277">
        <v>30</v>
      </c>
      <c r="M70" s="272"/>
      <c r="N70" s="272"/>
      <c r="O70" s="277">
        <f t="shared" si="101"/>
        <v>-0.74366666666666659</v>
      </c>
      <c r="P70" s="277">
        <f t="shared" si="102"/>
        <v>0</v>
      </c>
      <c r="Q70" s="277">
        <f t="shared" si="103"/>
        <v>0</v>
      </c>
      <c r="R70" s="277">
        <f t="shared" si="104"/>
        <v>1.0513333333333332</v>
      </c>
      <c r="S70" s="277">
        <f t="shared" si="105"/>
        <v>5.9933333333333334E-4</v>
      </c>
      <c r="T70" s="277">
        <f t="shared" si="106"/>
        <v>0.30826599999999998</v>
      </c>
      <c r="U70" s="277">
        <f t="shared" si="107"/>
        <v>-0.29833333333333328</v>
      </c>
      <c r="V70" s="272"/>
      <c r="W70" s="272" t="s">
        <v>304</v>
      </c>
      <c r="X70" s="277">
        <f t="shared" si="108"/>
        <v>0.30826599999999998</v>
      </c>
      <c r="Y70" s="277">
        <v>17.09</v>
      </c>
      <c r="Z70" s="277" t="s">
        <v>857</v>
      </c>
      <c r="AA70" s="282">
        <f>Y70/L70</f>
        <v>0.56966666666666665</v>
      </c>
      <c r="AB70" s="274"/>
      <c r="AC70" s="540">
        <f t="shared" si="109"/>
        <v>9.2479800000000001</v>
      </c>
    </row>
    <row r="71" spans="2:29" ht="16.5" x14ac:dyDescent="0.35">
      <c r="B71" s="272" t="str">
        <f>$B$65&amp;"_"&amp;W71</f>
        <v>Indvendig beklædning_Krydsfiner og gipsplader</v>
      </c>
      <c r="C71" s="284">
        <v>50</v>
      </c>
      <c r="D71" s="277">
        <v>-0.17</v>
      </c>
      <c r="E71" s="277">
        <v>3.89</v>
      </c>
      <c r="F71" s="277">
        <v>0</v>
      </c>
      <c r="G71" s="277">
        <v>8.9160000000000004</v>
      </c>
      <c r="H71" s="277">
        <v>0.28000000000000003</v>
      </c>
      <c r="I71" s="277">
        <f t="shared" si="110"/>
        <v>9.0259999999999998</v>
      </c>
      <c r="J71" s="277">
        <v>-4.71</v>
      </c>
      <c r="K71" s="276" t="s">
        <v>270</v>
      </c>
      <c r="L71" s="276">
        <v>13</v>
      </c>
      <c r="M71" s="272"/>
      <c r="N71" s="272"/>
      <c r="O71" s="277">
        <f t="shared" si="101"/>
        <v>-1.3076923076923078E-2</v>
      </c>
      <c r="P71" s="277">
        <f t="shared" si="102"/>
        <v>0.29923076923076924</v>
      </c>
      <c r="Q71" s="277">
        <f t="shared" si="103"/>
        <v>0</v>
      </c>
      <c r="R71" s="277">
        <f t="shared" si="104"/>
        <v>0.68584615384615388</v>
      </c>
      <c r="S71" s="277">
        <f t="shared" si="105"/>
        <v>2.1538461538461541E-2</v>
      </c>
      <c r="T71" s="277">
        <f t="shared" si="106"/>
        <v>0.69430769230769229</v>
      </c>
      <c r="U71" s="277">
        <f t="shared" si="107"/>
        <v>-0.36230769230769233</v>
      </c>
      <c r="V71" s="272"/>
      <c r="W71" s="272" t="s">
        <v>305</v>
      </c>
      <c r="X71" s="277">
        <f t="shared" si="108"/>
        <v>0.69430769230769229</v>
      </c>
      <c r="Y71" s="277">
        <v>5.76</v>
      </c>
      <c r="Z71" s="277" t="s">
        <v>856</v>
      </c>
      <c r="AA71" s="282">
        <f>Y71/L71</f>
        <v>0.44307692307692303</v>
      </c>
      <c r="AB71" s="274"/>
      <c r="AC71" s="540">
        <f t="shared" si="109"/>
        <v>9.0259999999999998</v>
      </c>
    </row>
    <row r="72" spans="2:29" x14ac:dyDescent="0.35">
      <c r="B72" s="272" t="s">
        <v>306</v>
      </c>
      <c r="C72" s="284">
        <v>60</v>
      </c>
      <c r="D72" s="277">
        <v>0.20568481999999999</v>
      </c>
      <c r="E72" s="277">
        <v>0</v>
      </c>
      <c r="F72" s="277">
        <v>0</v>
      </c>
      <c r="G72" s="277">
        <v>0.14863551999999999</v>
      </c>
      <c r="H72" s="277">
        <v>0</v>
      </c>
      <c r="I72" s="277">
        <v>0.35432034000000001</v>
      </c>
      <c r="J72" s="277">
        <v>-6.4627419999999991E-2</v>
      </c>
      <c r="K72" s="276" t="s">
        <v>270</v>
      </c>
      <c r="L72" s="276">
        <v>22</v>
      </c>
      <c r="M72" s="272"/>
      <c r="N72" s="272"/>
      <c r="O72" s="277">
        <f t="shared" si="101"/>
        <v>9.3493099999999996E-3</v>
      </c>
      <c r="P72" s="277">
        <f t="shared" si="102"/>
        <v>0</v>
      </c>
      <c r="Q72" s="277">
        <f t="shared" si="103"/>
        <v>0</v>
      </c>
      <c r="R72" s="277">
        <f t="shared" si="104"/>
        <v>6.7561599999999998E-3</v>
      </c>
      <c r="S72" s="277">
        <f t="shared" si="105"/>
        <v>0</v>
      </c>
      <c r="T72" s="277">
        <f t="shared" si="106"/>
        <v>1.610547E-2</v>
      </c>
      <c r="U72" s="277">
        <f t="shared" si="107"/>
        <v>-2.9376099999999998E-3</v>
      </c>
      <c r="V72" s="272"/>
      <c r="W72" s="272" t="s">
        <v>307</v>
      </c>
      <c r="X72" s="277">
        <f t="shared" si="108"/>
        <v>1.610547E-2</v>
      </c>
      <c r="Y72" s="277"/>
      <c r="Z72" s="277"/>
      <c r="AA72" s="277"/>
      <c r="AB72" s="274"/>
      <c r="AC72" s="540">
        <f t="shared" si="109"/>
        <v>0.35432034000000001</v>
      </c>
    </row>
    <row r="73" spans="2:29" x14ac:dyDescent="0.35">
      <c r="B73" s="272" t="str">
        <f>$B$65&amp;"_"&amp;W73</f>
        <v>Indvendig beklædning_Genbrugs beklædning</v>
      </c>
      <c r="C73" s="284">
        <v>50</v>
      </c>
      <c r="D73" s="277">
        <v>0</v>
      </c>
      <c r="E73" s="277">
        <v>0</v>
      </c>
      <c r="F73" s="277">
        <v>0</v>
      </c>
      <c r="G73" s="277">
        <v>0</v>
      </c>
      <c r="H73" s="277">
        <v>0</v>
      </c>
      <c r="I73" s="277">
        <v>0</v>
      </c>
      <c r="J73" s="277">
        <v>0</v>
      </c>
      <c r="K73" s="276" t="s">
        <v>270</v>
      </c>
      <c r="L73" s="276">
        <v>1</v>
      </c>
      <c r="M73" s="272"/>
      <c r="N73" s="272"/>
      <c r="O73" s="277">
        <f t="shared" ref="O73" si="111">D73/L73</f>
        <v>0</v>
      </c>
      <c r="P73" s="277">
        <f t="shared" ref="P73" si="112">E73/L73</f>
        <v>0</v>
      </c>
      <c r="Q73" s="277">
        <f t="shared" ref="Q73" si="113">F73/L73</f>
        <v>0</v>
      </c>
      <c r="R73" s="277">
        <f t="shared" ref="R73" si="114">G73/L73</f>
        <v>0</v>
      </c>
      <c r="S73" s="277">
        <f t="shared" ref="S73" si="115">H73/L73</f>
        <v>0</v>
      </c>
      <c r="T73" s="277">
        <f t="shared" ref="T73" si="116">I73/L73</f>
        <v>0</v>
      </c>
      <c r="U73" s="277">
        <f t="shared" ref="U73" si="117">J73/L73</f>
        <v>0</v>
      </c>
      <c r="V73" s="272"/>
      <c r="W73" s="272" t="s">
        <v>1003</v>
      </c>
      <c r="X73" s="277">
        <f t="shared" ref="X73" si="118">T73</f>
        <v>0</v>
      </c>
      <c r="Y73" s="277"/>
      <c r="Z73" s="277"/>
      <c r="AA73" s="277"/>
      <c r="AB73" s="274"/>
      <c r="AC73" s="540"/>
    </row>
    <row r="74" spans="2:29" x14ac:dyDescent="0.35">
      <c r="B74" s="272" t="str">
        <f>$B$65&amp;"_"&amp;W74</f>
        <v>Indvendig beklædning_Brugerdefineret_1</v>
      </c>
      <c r="C74" s="652">
        <v>100</v>
      </c>
      <c r="D74" s="651">
        <v>0</v>
      </c>
      <c r="E74" s="651">
        <v>0</v>
      </c>
      <c r="F74" s="651">
        <v>0</v>
      </c>
      <c r="G74" s="651">
        <v>0</v>
      </c>
      <c r="H74" s="651">
        <v>0</v>
      </c>
      <c r="I74" s="651">
        <f t="shared" si="110"/>
        <v>0</v>
      </c>
      <c r="J74" s="651">
        <v>0</v>
      </c>
      <c r="K74" s="650" t="s">
        <v>288</v>
      </c>
      <c r="L74" s="650">
        <v>1</v>
      </c>
      <c r="M74" s="272"/>
      <c r="N74" s="272"/>
      <c r="O74" s="277">
        <f t="shared" si="101"/>
        <v>0</v>
      </c>
      <c r="P74" s="277">
        <f t="shared" si="102"/>
        <v>0</v>
      </c>
      <c r="Q74" s="277">
        <f t="shared" si="103"/>
        <v>0</v>
      </c>
      <c r="R74" s="277">
        <f t="shared" si="104"/>
        <v>0</v>
      </c>
      <c r="S74" s="277">
        <f t="shared" si="105"/>
        <v>0</v>
      </c>
      <c r="T74" s="277">
        <f t="shared" si="106"/>
        <v>0</v>
      </c>
      <c r="U74" s="277">
        <f t="shared" si="107"/>
        <v>0</v>
      </c>
      <c r="V74" s="272"/>
      <c r="W74" s="653" t="s">
        <v>280</v>
      </c>
      <c r="X74" s="277">
        <f t="shared" si="108"/>
        <v>0</v>
      </c>
      <c r="Y74" s="277"/>
      <c r="Z74" s="277"/>
      <c r="AA74" s="277"/>
      <c r="AB74" s="274"/>
      <c r="AC74" s="540">
        <f t="shared" si="109"/>
        <v>0</v>
      </c>
    </row>
    <row r="75" spans="2:29" x14ac:dyDescent="0.35">
      <c r="B75" s="272" t="str">
        <f>$B$65&amp;"_"&amp;W75</f>
        <v>Indvendig beklædning_Brugerdefineret_2</v>
      </c>
      <c r="C75" s="652">
        <v>100</v>
      </c>
      <c r="D75" s="651">
        <v>0</v>
      </c>
      <c r="E75" s="651">
        <v>0</v>
      </c>
      <c r="F75" s="651">
        <v>0</v>
      </c>
      <c r="G75" s="651">
        <v>0</v>
      </c>
      <c r="H75" s="651">
        <v>0</v>
      </c>
      <c r="I75" s="651">
        <f t="shared" si="110"/>
        <v>0</v>
      </c>
      <c r="J75" s="651">
        <v>0</v>
      </c>
      <c r="K75" s="650" t="s">
        <v>288</v>
      </c>
      <c r="L75" s="650">
        <v>1</v>
      </c>
      <c r="M75" s="272"/>
      <c r="N75" s="272"/>
      <c r="O75" s="277">
        <f t="shared" si="101"/>
        <v>0</v>
      </c>
      <c r="P75" s="277">
        <f t="shared" si="102"/>
        <v>0</v>
      </c>
      <c r="Q75" s="277">
        <f t="shared" si="103"/>
        <v>0</v>
      </c>
      <c r="R75" s="277">
        <f t="shared" si="104"/>
        <v>0</v>
      </c>
      <c r="S75" s="277">
        <f t="shared" si="105"/>
        <v>0</v>
      </c>
      <c r="T75" s="277">
        <f t="shared" si="106"/>
        <v>0</v>
      </c>
      <c r="U75" s="277">
        <f t="shared" si="107"/>
        <v>0</v>
      </c>
      <c r="V75" s="272"/>
      <c r="W75" s="653" t="s">
        <v>281</v>
      </c>
      <c r="X75" s="277">
        <f t="shared" si="108"/>
        <v>0</v>
      </c>
      <c r="Y75" s="277"/>
      <c r="Z75" s="277"/>
      <c r="AA75" s="277"/>
      <c r="AB75" s="274">
        <v>50</v>
      </c>
      <c r="AC75" s="540">
        <f t="shared" si="109"/>
        <v>0</v>
      </c>
    </row>
    <row r="76" spans="2:29" x14ac:dyDescent="0.35">
      <c r="B76" s="272" t="str">
        <f>$B$65&amp;"_"&amp;W76</f>
        <v>Indvendig beklædning_Brugerdefineret_3</v>
      </c>
      <c r="C76" s="652">
        <v>100</v>
      </c>
      <c r="D76" s="651">
        <v>0</v>
      </c>
      <c r="E76" s="651">
        <v>0</v>
      </c>
      <c r="F76" s="651">
        <v>0</v>
      </c>
      <c r="G76" s="651">
        <v>0</v>
      </c>
      <c r="H76" s="651">
        <v>0</v>
      </c>
      <c r="I76" s="651">
        <f t="shared" si="110"/>
        <v>0</v>
      </c>
      <c r="J76" s="651">
        <v>0</v>
      </c>
      <c r="K76" s="650" t="s">
        <v>288</v>
      </c>
      <c r="L76" s="650">
        <v>1</v>
      </c>
      <c r="M76" s="272"/>
      <c r="N76" s="272"/>
      <c r="O76" s="277">
        <f t="shared" si="101"/>
        <v>0</v>
      </c>
      <c r="P76" s="277">
        <f t="shared" si="102"/>
        <v>0</v>
      </c>
      <c r="Q76" s="277">
        <f t="shared" si="103"/>
        <v>0</v>
      </c>
      <c r="R76" s="277">
        <f t="shared" si="104"/>
        <v>0</v>
      </c>
      <c r="S76" s="277">
        <f t="shared" si="105"/>
        <v>0</v>
      </c>
      <c r="T76" s="277">
        <f t="shared" si="106"/>
        <v>0</v>
      </c>
      <c r="U76" s="277">
        <f t="shared" si="107"/>
        <v>0</v>
      </c>
      <c r="V76" s="272"/>
      <c r="W76" s="653" t="s">
        <v>282</v>
      </c>
      <c r="X76" s="277">
        <f t="shared" si="108"/>
        <v>0</v>
      </c>
      <c r="Y76" s="277"/>
      <c r="Z76" s="277"/>
      <c r="AA76" s="277"/>
      <c r="AB76" s="274"/>
      <c r="AC76" s="540">
        <f t="shared" si="109"/>
        <v>0</v>
      </c>
    </row>
    <row r="77" spans="2:29" ht="23.5" x14ac:dyDescent="0.55000000000000004">
      <c r="B77" s="281" t="s">
        <v>308</v>
      </c>
      <c r="C77" s="272"/>
      <c r="D77" s="272"/>
      <c r="E77" s="272"/>
      <c r="F77" s="272"/>
      <c r="G77" s="272"/>
      <c r="H77" s="272"/>
      <c r="I77" s="277"/>
      <c r="J77" s="272"/>
      <c r="K77" s="276"/>
      <c r="L77" s="276"/>
      <c r="M77" s="272"/>
      <c r="N77" s="272"/>
      <c r="O77" s="272"/>
      <c r="P77" s="272"/>
      <c r="Q77" s="272"/>
      <c r="R77" s="272"/>
      <c r="S77" s="272"/>
      <c r="T77" s="272"/>
      <c r="U77" s="272"/>
      <c r="V77" s="272"/>
      <c r="W77" s="274" t="s">
        <v>302</v>
      </c>
      <c r="X77" s="275">
        <f t="shared" ref="X77" si="119">T77</f>
        <v>0</v>
      </c>
      <c r="Y77" s="277"/>
      <c r="Z77" s="272"/>
      <c r="AA77" s="277"/>
      <c r="AB77" s="274"/>
      <c r="AC77" s="295"/>
    </row>
    <row r="78" spans="2:29" x14ac:dyDescent="0.35">
      <c r="B78" s="271"/>
      <c r="C78" s="268">
        <v>200</v>
      </c>
      <c r="D78" s="272"/>
      <c r="E78" s="272"/>
      <c r="F78" s="272"/>
      <c r="G78" s="272"/>
      <c r="H78" s="272"/>
      <c r="I78" s="277"/>
      <c r="J78" s="272"/>
      <c r="K78" s="276"/>
      <c r="L78" s="276"/>
      <c r="M78" s="272"/>
      <c r="N78" s="272"/>
      <c r="O78" s="272"/>
      <c r="P78" s="272"/>
      <c r="Q78" s="272"/>
      <c r="R78" s="272"/>
      <c r="S78" s="272"/>
      <c r="T78" s="272"/>
      <c r="U78" s="272"/>
      <c r="V78" s="272"/>
      <c r="W78" s="274" t="s">
        <v>103</v>
      </c>
      <c r="X78" s="275"/>
      <c r="Y78" s="277"/>
      <c r="Z78" s="272"/>
      <c r="AA78" s="277"/>
      <c r="AB78" s="274"/>
      <c r="AC78" s="295"/>
    </row>
    <row r="79" spans="2:29" x14ac:dyDescent="0.35">
      <c r="B79" s="272" t="str">
        <f t="shared" ref="B79:B92" si="120">$B$77&amp;"_"&amp;W79</f>
        <v>Tagbelægning_Tagpap</v>
      </c>
      <c r="C79" s="276">
        <v>20</v>
      </c>
      <c r="D79" s="277">
        <v>0.65097000000000005</v>
      </c>
      <c r="E79" s="277">
        <v>17.454878000000001</v>
      </c>
      <c r="F79" s="277">
        <v>0</v>
      </c>
      <c r="G79" s="277">
        <v>8.9160000000000004</v>
      </c>
      <c r="H79" s="277">
        <v>0.88846899999999995</v>
      </c>
      <c r="I79" s="277">
        <f>D79+G79+H79</f>
        <v>10.455439000000002</v>
      </c>
      <c r="J79" s="277">
        <v>-4.6920000000000002</v>
      </c>
      <c r="K79" s="276" t="s">
        <v>270</v>
      </c>
      <c r="L79" s="276">
        <v>8</v>
      </c>
      <c r="M79" s="272"/>
      <c r="N79" s="272"/>
      <c r="O79" s="277">
        <f t="shared" ref="O79:O86" si="121">D79/L79</f>
        <v>8.1371250000000006E-2</v>
      </c>
      <c r="P79" s="277">
        <f t="shared" ref="P79:P86" si="122">E79/L79</f>
        <v>2.1818597500000001</v>
      </c>
      <c r="Q79" s="277">
        <f t="shared" ref="Q79:Q86" si="123">F79/L79</f>
        <v>0</v>
      </c>
      <c r="R79" s="277">
        <f t="shared" ref="R79:R86" si="124">G79/L79</f>
        <v>1.1145</v>
      </c>
      <c r="S79" s="277">
        <f t="shared" ref="S79:S86" si="125">H79/L79</f>
        <v>0.11105862499999999</v>
      </c>
      <c r="T79" s="277">
        <f t="shared" ref="T79:T86" si="126">I79/L79</f>
        <v>1.3069298750000002</v>
      </c>
      <c r="U79" s="277">
        <f t="shared" ref="U79:U86" si="127">J79/L79</f>
        <v>-0.58650000000000002</v>
      </c>
      <c r="V79" s="272"/>
      <c r="W79" s="272" t="s">
        <v>115</v>
      </c>
      <c r="X79" s="277">
        <f t="shared" ref="X79:X86" si="128">T79</f>
        <v>1.3069298750000002</v>
      </c>
      <c r="Y79" s="277">
        <v>5.76</v>
      </c>
      <c r="Z79" s="272"/>
      <c r="AA79" s="277"/>
      <c r="AB79" s="274">
        <f t="shared" ref="AB79:AB92" si="129">IF(C79&lt;$AB$75,1,0)+IF(C79*2&lt;$AB$75,1,0)+IF(C79*3&lt;$AB$75,1,0)</f>
        <v>2</v>
      </c>
      <c r="AC79" s="295">
        <f t="shared" ref="AC79:AC92" si="130">I79*AB79+I79</f>
        <v>31.366317000000006</v>
      </c>
    </row>
    <row r="80" spans="2:29" x14ac:dyDescent="0.35">
      <c r="B80" s="272" t="str">
        <f t="shared" si="120"/>
        <v>Tagbelægning_Teglsten</v>
      </c>
      <c r="C80" s="276">
        <v>60</v>
      </c>
      <c r="D80" s="277">
        <v>9.3182360000000006</v>
      </c>
      <c r="E80" s="277">
        <v>0</v>
      </c>
      <c r="F80" s="277">
        <v>0</v>
      </c>
      <c r="G80" s="277">
        <v>7.0232343999999998</v>
      </c>
      <c r="H80" s="277">
        <v>0.25509415384615403</v>
      </c>
      <c r="I80" s="277">
        <f>D80+G80+H80</f>
        <v>16.596564553846154</v>
      </c>
      <c r="J80" s="277">
        <v>-3.5791482999999999</v>
      </c>
      <c r="K80" s="276" t="s">
        <v>270</v>
      </c>
      <c r="L80" s="276">
        <v>30</v>
      </c>
      <c r="M80" s="272"/>
      <c r="N80" s="272"/>
      <c r="O80" s="277">
        <f t="shared" si="121"/>
        <v>0.31060786666666668</v>
      </c>
      <c r="P80" s="277">
        <f t="shared" si="122"/>
        <v>0</v>
      </c>
      <c r="Q80" s="277">
        <f t="shared" si="123"/>
        <v>0</v>
      </c>
      <c r="R80" s="277">
        <f t="shared" si="124"/>
        <v>0.23410781333333333</v>
      </c>
      <c r="S80" s="277">
        <f t="shared" si="125"/>
        <v>8.5031384615384675E-3</v>
      </c>
      <c r="T80" s="277">
        <f t="shared" si="126"/>
        <v>0.55321881846153842</v>
      </c>
      <c r="U80" s="277">
        <f t="shared" si="127"/>
        <v>-0.11930494333333333</v>
      </c>
      <c r="V80" s="272"/>
      <c r="W80" s="272" t="s">
        <v>309</v>
      </c>
      <c r="X80" s="277">
        <f t="shared" si="128"/>
        <v>0.55321881846153842</v>
      </c>
      <c r="Y80" s="277">
        <v>4.3991688</v>
      </c>
      <c r="Z80" s="272"/>
      <c r="AA80" s="282">
        <f>Y80/L80</f>
        <v>0.14663896000000001</v>
      </c>
      <c r="AB80" s="274">
        <f t="shared" si="129"/>
        <v>0</v>
      </c>
      <c r="AC80" s="295">
        <f t="shared" si="130"/>
        <v>16.596564553846154</v>
      </c>
    </row>
    <row r="81" spans="2:43" x14ac:dyDescent="0.35">
      <c r="B81" s="272" t="str">
        <f t="shared" si="120"/>
        <v>Tagbelægning_Fibercement</v>
      </c>
      <c r="C81" s="276">
        <v>40</v>
      </c>
      <c r="D81" s="277">
        <v>2.58452830769231</v>
      </c>
      <c r="E81" s="277">
        <v>9.3997864615384596</v>
      </c>
      <c r="F81" s="277">
        <v>0</v>
      </c>
      <c r="G81" s="277">
        <v>8.9579907676999984</v>
      </c>
      <c r="H81" s="277">
        <v>0.25519646434615378</v>
      </c>
      <c r="I81" s="277">
        <f>D81+G81+H81</f>
        <v>11.797715539738462</v>
      </c>
      <c r="J81" s="277">
        <v>-2.5108181557</v>
      </c>
      <c r="K81" s="276" t="s">
        <v>270</v>
      </c>
      <c r="L81" s="276">
        <v>10</v>
      </c>
      <c r="M81" s="272"/>
      <c r="N81" s="272"/>
      <c r="O81" s="277">
        <f t="shared" si="121"/>
        <v>0.25845283076923098</v>
      </c>
      <c r="P81" s="277">
        <f t="shared" si="122"/>
        <v>0.93997864615384596</v>
      </c>
      <c r="Q81" s="277">
        <f t="shared" si="123"/>
        <v>0</v>
      </c>
      <c r="R81" s="277">
        <f t="shared" si="124"/>
        <v>0.89579907676999981</v>
      </c>
      <c r="S81" s="277">
        <f t="shared" si="125"/>
        <v>2.5519646434615378E-2</v>
      </c>
      <c r="T81" s="277">
        <f t="shared" si="126"/>
        <v>1.1797715539738463</v>
      </c>
      <c r="U81" s="277">
        <f t="shared" si="127"/>
        <v>-0.25108181556999998</v>
      </c>
      <c r="V81" s="272"/>
      <c r="W81" s="272" t="s">
        <v>273</v>
      </c>
      <c r="X81" s="277">
        <f t="shared" si="128"/>
        <v>1.1797715539738463</v>
      </c>
      <c r="Y81" s="277">
        <v>4.3991688</v>
      </c>
      <c r="Z81" s="272"/>
      <c r="AA81" s="282">
        <f>Y81/L81</f>
        <v>0.43991688000000001</v>
      </c>
      <c r="AB81" s="274">
        <f t="shared" si="129"/>
        <v>1</v>
      </c>
      <c r="AC81" s="295">
        <f t="shared" si="130"/>
        <v>23.595431079476924</v>
      </c>
    </row>
    <row r="82" spans="2:43" x14ac:dyDescent="0.35">
      <c r="B82" s="272" t="str">
        <f t="shared" si="120"/>
        <v>Tagbelægning_Ståltag</v>
      </c>
      <c r="C82" s="284">
        <v>40</v>
      </c>
      <c r="D82" s="277">
        <v>7.5190793370629398</v>
      </c>
      <c r="E82" s="277">
        <v>14.2810600590629</v>
      </c>
      <c r="F82" s="277">
        <v>0</v>
      </c>
      <c r="G82" s="277">
        <v>7.2219135999999997</v>
      </c>
      <c r="H82" s="277">
        <v>3.1375219999999998E-3</v>
      </c>
      <c r="I82" s="277">
        <f t="shared" ref="I82:I84" si="131">D82+G82+H82</f>
        <v>14.744130459062939</v>
      </c>
      <c r="J82" s="277">
        <v>-20.35891818</v>
      </c>
      <c r="K82" s="277" t="s">
        <v>270</v>
      </c>
      <c r="L82" s="276">
        <v>0.5</v>
      </c>
      <c r="M82" s="272"/>
      <c r="N82" s="272"/>
      <c r="O82" s="277">
        <f t="shared" si="121"/>
        <v>15.03815867412588</v>
      </c>
      <c r="P82" s="277">
        <f t="shared" si="122"/>
        <v>28.562120118125801</v>
      </c>
      <c r="Q82" s="277">
        <f t="shared" si="123"/>
        <v>0</v>
      </c>
      <c r="R82" s="277">
        <f t="shared" si="124"/>
        <v>14.443827199999999</v>
      </c>
      <c r="S82" s="277">
        <f t="shared" si="125"/>
        <v>6.2750439999999996E-3</v>
      </c>
      <c r="T82" s="277">
        <f t="shared" si="126"/>
        <v>29.488260918125878</v>
      </c>
      <c r="U82" s="277">
        <f t="shared" si="127"/>
        <v>-40.71783636</v>
      </c>
      <c r="V82" s="272"/>
      <c r="W82" s="272" t="s">
        <v>310</v>
      </c>
      <c r="X82" s="277">
        <f t="shared" si="128"/>
        <v>29.488260918125878</v>
      </c>
      <c r="Y82" s="277">
        <v>4.3991688</v>
      </c>
      <c r="Z82" s="272"/>
      <c r="AA82" s="282">
        <f>Y82/L82</f>
        <v>8.7983376</v>
      </c>
      <c r="AB82" s="274">
        <f t="shared" si="129"/>
        <v>1</v>
      </c>
      <c r="AC82" s="295">
        <f t="shared" si="130"/>
        <v>29.488260918125878</v>
      </c>
    </row>
    <row r="83" spans="2:43" x14ac:dyDescent="0.35">
      <c r="B83" s="272" t="str">
        <f t="shared" si="120"/>
        <v>Tagbelægning_Skifer</v>
      </c>
      <c r="C83" s="276">
        <v>80</v>
      </c>
      <c r="D83" s="277">
        <v>8.4784360000000003</v>
      </c>
      <c r="E83" s="277">
        <v>0</v>
      </c>
      <c r="F83" s="277">
        <v>0</v>
      </c>
      <c r="G83" s="277">
        <v>7.2250084000000001</v>
      </c>
      <c r="H83" s="277">
        <v>1.023105E-4</v>
      </c>
      <c r="I83" s="277">
        <f t="shared" si="131"/>
        <v>15.703546710500001</v>
      </c>
      <c r="J83" s="277">
        <v>-3.6407677000000001</v>
      </c>
      <c r="K83" s="276" t="s">
        <v>270</v>
      </c>
      <c r="L83" s="276">
        <v>11</v>
      </c>
      <c r="M83" s="272"/>
      <c r="N83" s="272"/>
      <c r="O83" s="277">
        <f t="shared" si="121"/>
        <v>0.77076690909090917</v>
      </c>
      <c r="P83" s="277">
        <f t="shared" si="122"/>
        <v>0</v>
      </c>
      <c r="Q83" s="277">
        <f t="shared" si="123"/>
        <v>0</v>
      </c>
      <c r="R83" s="277">
        <f t="shared" si="124"/>
        <v>0.65681894545454544</v>
      </c>
      <c r="S83" s="277">
        <f t="shared" si="125"/>
        <v>9.3009545454545443E-6</v>
      </c>
      <c r="T83" s="277">
        <f t="shared" si="126"/>
        <v>1.4275951555000002</v>
      </c>
      <c r="U83" s="277">
        <f t="shared" si="127"/>
        <v>-0.3309788818181818</v>
      </c>
      <c r="V83" s="272"/>
      <c r="W83" s="272" t="s">
        <v>277</v>
      </c>
      <c r="X83" s="277">
        <f t="shared" si="128"/>
        <v>1.4275951555000002</v>
      </c>
      <c r="Y83" s="277">
        <v>4.3991688</v>
      </c>
      <c r="Z83" s="272"/>
      <c r="AA83" s="282">
        <f>Y83/L83</f>
        <v>0.39992443636363634</v>
      </c>
      <c r="AB83" s="274">
        <f t="shared" si="129"/>
        <v>0</v>
      </c>
      <c r="AC83" s="295">
        <f t="shared" si="130"/>
        <v>15.703546710500001</v>
      </c>
    </row>
    <row r="84" spans="2:43" x14ac:dyDescent="0.35">
      <c r="B84" s="272" t="str">
        <f t="shared" si="120"/>
        <v>Tagbelægning_Sedum</v>
      </c>
      <c r="C84" s="276">
        <v>40</v>
      </c>
      <c r="D84" s="277">
        <v>14.5534745</v>
      </c>
      <c r="E84" s="277">
        <v>27.565094193333302</v>
      </c>
      <c r="F84" s="277">
        <v>0</v>
      </c>
      <c r="G84" s="277">
        <v>12.598998533333299</v>
      </c>
      <c r="H84" s="277">
        <v>0.41262115999999999</v>
      </c>
      <c r="I84" s="277">
        <f t="shared" si="131"/>
        <v>27.565094193333302</v>
      </c>
      <c r="J84" s="277">
        <v>-9.3788226666666699</v>
      </c>
      <c r="K84" s="276" t="s">
        <v>270</v>
      </c>
      <c r="L84" s="276">
        <f>36+40</f>
        <v>76</v>
      </c>
      <c r="M84" s="276"/>
      <c r="N84" s="272"/>
      <c r="O84" s="277">
        <f t="shared" si="121"/>
        <v>0.1914930855263158</v>
      </c>
      <c r="P84" s="277">
        <f t="shared" si="122"/>
        <v>0.36269860780701713</v>
      </c>
      <c r="Q84" s="277">
        <f t="shared" si="123"/>
        <v>0</v>
      </c>
      <c r="R84" s="277">
        <f t="shared" si="124"/>
        <v>0.16577629649122763</v>
      </c>
      <c r="S84" s="277">
        <f t="shared" si="125"/>
        <v>5.4292257894736837E-3</v>
      </c>
      <c r="T84" s="277">
        <f t="shared" si="126"/>
        <v>0.36269860780701713</v>
      </c>
      <c r="U84" s="277">
        <f t="shared" si="127"/>
        <v>-0.12340556140350882</v>
      </c>
      <c r="V84" s="272"/>
      <c r="W84" s="272" t="s">
        <v>311</v>
      </c>
      <c r="X84" s="277">
        <f t="shared" si="128"/>
        <v>0.36269860780701713</v>
      </c>
      <c r="Y84" s="277"/>
      <c r="Z84" s="272"/>
      <c r="AA84" s="277"/>
      <c r="AB84" s="274">
        <f t="shared" si="129"/>
        <v>1</v>
      </c>
      <c r="AC84" s="295">
        <f t="shared" si="130"/>
        <v>55.130188386666603</v>
      </c>
    </row>
    <row r="85" spans="2:43" x14ac:dyDescent="0.35">
      <c r="B85" s="272" t="str">
        <f t="shared" si="120"/>
        <v>Tagbelægning_Stråtag</v>
      </c>
      <c r="C85" s="284">
        <v>40</v>
      </c>
      <c r="D85" s="277">
        <v>-53.014035</v>
      </c>
      <c r="E85" s="277">
        <v>3.0326025400000001</v>
      </c>
      <c r="F85" s="277">
        <v>0</v>
      </c>
      <c r="G85" s="277">
        <v>7.0232343999999998</v>
      </c>
      <c r="H85" s="277">
        <v>49.582946540000002</v>
      </c>
      <c r="I85" s="277">
        <f>D85+E85+G85+H85</f>
        <v>6.6247484800000009</v>
      </c>
      <c r="J85" s="277">
        <v>-3.5791482999999999</v>
      </c>
      <c r="K85" s="277" t="s">
        <v>270</v>
      </c>
      <c r="L85" s="286">
        <v>370</v>
      </c>
      <c r="M85" s="272"/>
      <c r="N85" s="272"/>
      <c r="O85" s="277">
        <f t="shared" si="121"/>
        <v>-0.14328117567567566</v>
      </c>
      <c r="P85" s="277">
        <f t="shared" si="122"/>
        <v>8.1962230810810818E-3</v>
      </c>
      <c r="Q85" s="277">
        <f t="shared" si="123"/>
        <v>0</v>
      </c>
      <c r="R85" s="277">
        <f t="shared" si="124"/>
        <v>1.8981714594594593E-2</v>
      </c>
      <c r="S85" s="277">
        <f t="shared" si="125"/>
        <v>0.13400796362162162</v>
      </c>
      <c r="T85" s="277">
        <f t="shared" si="126"/>
        <v>1.7904725621621626E-2</v>
      </c>
      <c r="U85" s="277">
        <f t="shared" si="127"/>
        <v>-9.6733737837837834E-3</v>
      </c>
      <c r="V85" s="272"/>
      <c r="W85" s="285" t="s">
        <v>312</v>
      </c>
      <c r="X85" s="277">
        <f t="shared" si="128"/>
        <v>1.7904725621621626E-2</v>
      </c>
      <c r="Y85" s="277">
        <f>37+10.976</f>
        <v>47.975999999999999</v>
      </c>
      <c r="Z85" s="272"/>
      <c r="AA85" s="282">
        <f>Y85/L85</f>
        <v>0.12966486486486486</v>
      </c>
      <c r="AB85" s="274">
        <f t="shared" si="129"/>
        <v>1</v>
      </c>
      <c r="AC85" s="295">
        <f t="shared" si="130"/>
        <v>13.249496960000002</v>
      </c>
    </row>
    <row r="86" spans="2:43" x14ac:dyDescent="0.35">
      <c r="B86" s="272" t="str">
        <f t="shared" si="120"/>
        <v>Tagbelægning_EPDM folie</v>
      </c>
      <c r="C86" s="284">
        <v>20</v>
      </c>
      <c r="D86" s="535">
        <v>1.41154</v>
      </c>
      <c r="E86" s="535">
        <v>30.798359999999999</v>
      </c>
      <c r="F86" s="535">
        <v>0</v>
      </c>
      <c r="G86" s="535">
        <v>15.71564</v>
      </c>
      <c r="H86" s="535">
        <v>0</v>
      </c>
      <c r="I86" s="535">
        <f>SUM(D86:H86)</f>
        <v>47.925539999999998</v>
      </c>
      <c r="J86" s="535">
        <v>-14.86617</v>
      </c>
      <c r="K86" s="535" t="s">
        <v>270</v>
      </c>
      <c r="L86" s="276">
        <v>1.1000000000000001</v>
      </c>
      <c r="M86" s="272"/>
      <c r="N86" s="272"/>
      <c r="O86" s="277">
        <f t="shared" si="121"/>
        <v>1.2832181818181818</v>
      </c>
      <c r="P86" s="277">
        <f t="shared" si="122"/>
        <v>27.998509090909089</v>
      </c>
      <c r="Q86" s="277">
        <f t="shared" si="123"/>
        <v>0</v>
      </c>
      <c r="R86" s="277">
        <f t="shared" si="124"/>
        <v>14.286945454545453</v>
      </c>
      <c r="S86" s="277">
        <f t="shared" si="125"/>
        <v>0</v>
      </c>
      <c r="T86" s="277">
        <f t="shared" si="126"/>
        <v>43.56867272727272</v>
      </c>
      <c r="U86" s="277">
        <f t="shared" si="127"/>
        <v>-13.514699999999999</v>
      </c>
      <c r="V86" s="272"/>
      <c r="W86" s="285" t="s">
        <v>313</v>
      </c>
      <c r="X86" s="277">
        <f t="shared" si="128"/>
        <v>43.56867272727272</v>
      </c>
      <c r="Y86" s="277">
        <v>5.76</v>
      </c>
      <c r="Z86" s="272"/>
      <c r="AA86" s="277"/>
      <c r="AB86" s="274">
        <f t="shared" si="129"/>
        <v>2</v>
      </c>
      <c r="AC86" s="295">
        <f t="shared" si="130"/>
        <v>143.77661999999998</v>
      </c>
    </row>
    <row r="87" spans="2:43" x14ac:dyDescent="0.35">
      <c r="B87" s="272" t="str">
        <f t="shared" si="120"/>
        <v>Tagbelægning_Betontagsten</v>
      </c>
      <c r="C87" s="284">
        <v>60</v>
      </c>
      <c r="D87" s="277">
        <v>3.1131962</v>
      </c>
      <c r="E87" s="277">
        <v>0</v>
      </c>
      <c r="F87" s="277">
        <v>0</v>
      </c>
      <c r="G87" s="277">
        <v>7.0232343999999998</v>
      </c>
      <c r="H87" s="277">
        <v>0.60744600000000004</v>
      </c>
      <c r="I87" s="277">
        <f t="shared" ref="I87:I92" si="132">D87+G87+H87</f>
        <v>10.7438766</v>
      </c>
      <c r="J87" s="277">
        <v>-3.6804901000000001</v>
      </c>
      <c r="K87" s="277" t="s">
        <v>288</v>
      </c>
      <c r="L87" s="276">
        <v>30</v>
      </c>
      <c r="M87" s="335" t="s">
        <v>853</v>
      </c>
      <c r="N87" s="272"/>
      <c r="O87" s="277">
        <f t="shared" ref="O87:O92" si="133">D87/L87</f>
        <v>0.10377320666666666</v>
      </c>
      <c r="P87" s="277">
        <f t="shared" ref="P87:P92" si="134">E87/L87</f>
        <v>0</v>
      </c>
      <c r="Q87" s="277">
        <f t="shared" ref="Q87:Q92" si="135">F87/L87</f>
        <v>0</v>
      </c>
      <c r="R87" s="277">
        <f t="shared" ref="R87:R92" si="136">G87/L87</f>
        <v>0.23410781333333333</v>
      </c>
      <c r="S87" s="277">
        <f t="shared" ref="S87:S92" si="137">H87/L87</f>
        <v>2.0248200000000001E-2</v>
      </c>
      <c r="T87" s="277">
        <f t="shared" ref="T87:T92" si="138">I87/L87</f>
        <v>0.35812922000000003</v>
      </c>
      <c r="U87" s="277">
        <f t="shared" ref="U87:U92" si="139">J87/L87</f>
        <v>-0.12268300333333333</v>
      </c>
      <c r="V87" s="272"/>
      <c r="W87" s="272" t="s">
        <v>882</v>
      </c>
      <c r="X87" s="277">
        <f t="shared" ref="X87:X93" si="140">T87</f>
        <v>0.35812922000000003</v>
      </c>
      <c r="Y87" s="277">
        <v>4.3991688</v>
      </c>
      <c r="Z87" s="272"/>
      <c r="AA87" s="277"/>
      <c r="AB87" s="274">
        <f t="shared" si="129"/>
        <v>0</v>
      </c>
      <c r="AC87" s="295">
        <f t="shared" si="130"/>
        <v>10.7438766</v>
      </c>
      <c r="AQ87" s="295" t="s">
        <v>975</v>
      </c>
    </row>
    <row r="88" spans="2:43" x14ac:dyDescent="0.35">
      <c r="B88" s="272" t="str">
        <f t="shared" si="120"/>
        <v>Tagbelægning_Zink</v>
      </c>
      <c r="C88" s="276">
        <v>50</v>
      </c>
      <c r="D88" s="277">
        <v>-9.9917639999999999</v>
      </c>
      <c r="E88" s="277">
        <v>0</v>
      </c>
      <c r="F88" s="277">
        <v>0</v>
      </c>
      <c r="G88" s="277">
        <v>23.585234400000001</v>
      </c>
      <c r="H88" s="277">
        <v>0</v>
      </c>
      <c r="I88" s="277">
        <f t="shared" si="132"/>
        <v>13.593470400000001</v>
      </c>
      <c r="J88" s="277">
        <v>-22.448569500000001</v>
      </c>
      <c r="K88" s="276" t="s">
        <v>270</v>
      </c>
      <c r="L88" s="276">
        <v>0.5</v>
      </c>
      <c r="M88" s="272"/>
      <c r="N88" s="272"/>
      <c r="O88" s="277">
        <f t="shared" si="133"/>
        <v>-19.983528</v>
      </c>
      <c r="P88" s="277">
        <f t="shared" si="134"/>
        <v>0</v>
      </c>
      <c r="Q88" s="277">
        <f t="shared" si="135"/>
        <v>0</v>
      </c>
      <c r="R88" s="277">
        <f t="shared" si="136"/>
        <v>47.170468800000002</v>
      </c>
      <c r="S88" s="277">
        <f t="shared" si="137"/>
        <v>0</v>
      </c>
      <c r="T88" s="277">
        <f t="shared" si="138"/>
        <v>27.186940800000002</v>
      </c>
      <c r="U88" s="277">
        <f t="shared" si="139"/>
        <v>-44.897139000000003</v>
      </c>
      <c r="V88" s="272"/>
      <c r="W88" s="272" t="s">
        <v>274</v>
      </c>
      <c r="X88" s="277">
        <f t="shared" si="140"/>
        <v>27.186940800000002</v>
      </c>
      <c r="Y88" s="277">
        <v>4.3991688</v>
      </c>
      <c r="Z88" s="272"/>
      <c r="AA88" s="277"/>
      <c r="AB88" s="274">
        <f t="shared" si="129"/>
        <v>0</v>
      </c>
      <c r="AC88" s="295">
        <f t="shared" si="130"/>
        <v>13.593470400000001</v>
      </c>
    </row>
    <row r="89" spans="2:43" x14ac:dyDescent="0.35">
      <c r="B89" s="272" t="str">
        <f t="shared" ref="B89" si="141">$B$77&amp;"_"&amp;W89</f>
        <v>Tagbelægning_Genbrugs tagbelægning</v>
      </c>
      <c r="C89" s="276">
        <v>50</v>
      </c>
      <c r="D89" s="277">
        <v>0</v>
      </c>
      <c r="E89" s="277">
        <v>0</v>
      </c>
      <c r="F89" s="277">
        <v>0</v>
      </c>
      <c r="G89" s="277">
        <v>0</v>
      </c>
      <c r="H89" s="277">
        <v>0</v>
      </c>
      <c r="I89" s="277">
        <f t="shared" ref="I89" si="142">D89+G89+H89</f>
        <v>0</v>
      </c>
      <c r="J89" s="277">
        <v>0</v>
      </c>
      <c r="K89" s="276" t="s">
        <v>270</v>
      </c>
      <c r="L89" s="276">
        <v>1</v>
      </c>
      <c r="M89" s="272"/>
      <c r="N89" s="272"/>
      <c r="O89" s="277">
        <f t="shared" ref="O89" si="143">D89/L89</f>
        <v>0</v>
      </c>
      <c r="P89" s="277">
        <f t="shared" ref="P89" si="144">E89/L89</f>
        <v>0</v>
      </c>
      <c r="Q89" s="277">
        <f t="shared" ref="Q89" si="145">F89/L89</f>
        <v>0</v>
      </c>
      <c r="R89" s="277">
        <f t="shared" ref="R89" si="146">G89/L89</f>
        <v>0</v>
      </c>
      <c r="S89" s="277">
        <f t="shared" ref="S89" si="147">H89/L89</f>
        <v>0</v>
      </c>
      <c r="T89" s="277">
        <f t="shared" ref="T89" si="148">I89/L89</f>
        <v>0</v>
      </c>
      <c r="U89" s="277">
        <f t="shared" ref="U89" si="149">J89/L89</f>
        <v>0</v>
      </c>
      <c r="V89" s="272"/>
      <c r="W89" s="272" t="s">
        <v>1006</v>
      </c>
      <c r="X89" s="277">
        <f t="shared" ref="X89" si="150">T89</f>
        <v>0</v>
      </c>
      <c r="Y89" s="277"/>
      <c r="Z89" s="272"/>
      <c r="AA89" s="277"/>
      <c r="AB89" s="274">
        <f t="shared" ref="AB89" si="151">IF(C89&lt;$AB$75,1,0)+IF(C89*2&lt;$AB$75,1,0)+IF(C89*3&lt;$AB$75,1,0)</f>
        <v>0</v>
      </c>
      <c r="AC89" s="295"/>
    </row>
    <row r="90" spans="2:43" x14ac:dyDescent="0.35">
      <c r="B90" s="272" t="str">
        <f t="shared" ref="B90" si="152">$B$77&amp;"_"&amp;W90</f>
        <v>Tagbelægning_Brugerdefineret_1</v>
      </c>
      <c r="C90" s="652">
        <v>100</v>
      </c>
      <c r="D90" s="651">
        <v>0</v>
      </c>
      <c r="E90" s="651">
        <v>0</v>
      </c>
      <c r="F90" s="651">
        <v>0</v>
      </c>
      <c r="G90" s="651">
        <v>0</v>
      </c>
      <c r="H90" s="651">
        <v>0</v>
      </c>
      <c r="I90" s="651">
        <f t="shared" ref="I90" si="153">D90+G90+H90</f>
        <v>0</v>
      </c>
      <c r="J90" s="651">
        <v>0</v>
      </c>
      <c r="K90" s="650" t="s">
        <v>288</v>
      </c>
      <c r="L90" s="650">
        <v>1</v>
      </c>
      <c r="M90" s="276"/>
      <c r="N90" s="272"/>
      <c r="O90" s="277">
        <f t="shared" ref="O90" si="154">D90/L90</f>
        <v>0</v>
      </c>
      <c r="P90" s="277">
        <f t="shared" ref="P90" si="155">E90/L90</f>
        <v>0</v>
      </c>
      <c r="Q90" s="277">
        <f t="shared" ref="Q90" si="156">F90/L90</f>
        <v>0</v>
      </c>
      <c r="R90" s="277">
        <f t="shared" ref="R90" si="157">G90/L90</f>
        <v>0</v>
      </c>
      <c r="S90" s="277">
        <f t="shared" ref="S90" si="158">H90/L90</f>
        <v>0</v>
      </c>
      <c r="T90" s="277">
        <f t="shared" ref="T90" si="159">I90/L90</f>
        <v>0</v>
      </c>
      <c r="U90" s="277">
        <f t="shared" ref="U90" si="160">J90/L90</f>
        <v>0</v>
      </c>
      <c r="V90" s="272"/>
      <c r="W90" s="653" t="s">
        <v>280</v>
      </c>
      <c r="X90" s="277">
        <f t="shared" ref="X90" si="161">T90</f>
        <v>0</v>
      </c>
      <c r="Y90" s="277"/>
      <c r="Z90" s="272"/>
      <c r="AA90" s="277"/>
      <c r="AB90" s="274"/>
      <c r="AC90" s="295">
        <f t="shared" si="130"/>
        <v>0</v>
      </c>
    </row>
    <row r="91" spans="2:43" x14ac:dyDescent="0.35">
      <c r="B91" s="272" t="str">
        <f t="shared" ref="B91" si="162">$B$77&amp;"_"&amp;W91</f>
        <v>Tagbelægning_Brugerdefineret_2</v>
      </c>
      <c r="C91" s="652">
        <v>100</v>
      </c>
      <c r="D91" s="651">
        <v>0</v>
      </c>
      <c r="E91" s="651">
        <v>0</v>
      </c>
      <c r="F91" s="651">
        <v>0</v>
      </c>
      <c r="G91" s="651">
        <v>0</v>
      </c>
      <c r="H91" s="651">
        <v>0</v>
      </c>
      <c r="I91" s="651">
        <f t="shared" ref="I91" si="163">D91+G91+H91</f>
        <v>0</v>
      </c>
      <c r="J91" s="651">
        <v>0</v>
      </c>
      <c r="K91" s="650" t="s">
        <v>288</v>
      </c>
      <c r="L91" s="650">
        <v>1</v>
      </c>
      <c r="M91" s="276"/>
      <c r="N91" s="272"/>
      <c r="O91" s="277">
        <f t="shared" ref="O91" si="164">D91/L91</f>
        <v>0</v>
      </c>
      <c r="P91" s="277">
        <f t="shared" ref="P91" si="165">E91/L91</f>
        <v>0</v>
      </c>
      <c r="Q91" s="277">
        <f t="shared" ref="Q91" si="166">F91/L91</f>
        <v>0</v>
      </c>
      <c r="R91" s="277">
        <f t="shared" ref="R91" si="167">G91/L91</f>
        <v>0</v>
      </c>
      <c r="S91" s="277">
        <f t="shared" ref="S91" si="168">H91/L91</f>
        <v>0</v>
      </c>
      <c r="T91" s="277">
        <f t="shared" ref="T91" si="169">I91/L91</f>
        <v>0</v>
      </c>
      <c r="U91" s="277">
        <f t="shared" ref="U91" si="170">J91/L91</f>
        <v>0</v>
      </c>
      <c r="V91" s="272"/>
      <c r="W91" s="653" t="s">
        <v>281</v>
      </c>
      <c r="X91" s="277">
        <f t="shared" ref="X91" si="171">T91</f>
        <v>0</v>
      </c>
      <c r="Y91" s="277"/>
      <c r="Z91" s="272"/>
      <c r="AA91" s="277"/>
      <c r="AB91" s="274"/>
      <c r="AC91" s="295">
        <f t="shared" si="130"/>
        <v>0</v>
      </c>
    </row>
    <row r="92" spans="2:43" x14ac:dyDescent="0.35">
      <c r="B92" s="272" t="str">
        <f t="shared" si="120"/>
        <v>Tagbelægning_Brugerdefineret_3</v>
      </c>
      <c r="C92" s="652">
        <v>100</v>
      </c>
      <c r="D92" s="651">
        <v>0</v>
      </c>
      <c r="E92" s="651">
        <v>0</v>
      </c>
      <c r="F92" s="651">
        <v>0</v>
      </c>
      <c r="G92" s="651">
        <v>0</v>
      </c>
      <c r="H92" s="651">
        <v>0</v>
      </c>
      <c r="I92" s="651">
        <f t="shared" si="132"/>
        <v>0</v>
      </c>
      <c r="J92" s="651">
        <v>0</v>
      </c>
      <c r="K92" s="650" t="s">
        <v>288</v>
      </c>
      <c r="L92" s="650">
        <v>1</v>
      </c>
      <c r="M92" s="276"/>
      <c r="N92" s="272"/>
      <c r="O92" s="277">
        <f t="shared" si="133"/>
        <v>0</v>
      </c>
      <c r="P92" s="277">
        <f t="shared" si="134"/>
        <v>0</v>
      </c>
      <c r="Q92" s="277">
        <f t="shared" si="135"/>
        <v>0</v>
      </c>
      <c r="R92" s="277">
        <f t="shared" si="136"/>
        <v>0</v>
      </c>
      <c r="S92" s="277">
        <f t="shared" si="137"/>
        <v>0</v>
      </c>
      <c r="T92" s="277">
        <f t="shared" si="138"/>
        <v>0</v>
      </c>
      <c r="U92" s="277">
        <f t="shared" si="139"/>
        <v>0</v>
      </c>
      <c r="V92" s="272"/>
      <c r="W92" s="653" t="s">
        <v>282</v>
      </c>
      <c r="X92" s="277">
        <f t="shared" si="140"/>
        <v>0</v>
      </c>
      <c r="Y92" s="277"/>
      <c r="Z92" s="272"/>
      <c r="AA92" s="277"/>
      <c r="AB92" s="274">
        <f t="shared" si="129"/>
        <v>0</v>
      </c>
      <c r="AC92" s="295">
        <f t="shared" si="130"/>
        <v>0</v>
      </c>
    </row>
    <row r="93" spans="2:43" ht="23.5" x14ac:dyDescent="0.55000000000000004">
      <c r="B93" s="281" t="s">
        <v>314</v>
      </c>
      <c r="C93" s="276"/>
      <c r="D93" s="272"/>
      <c r="E93" s="272"/>
      <c r="F93" s="272"/>
      <c r="G93" s="272"/>
      <c r="H93" s="272"/>
      <c r="I93" s="277"/>
      <c r="J93" s="272"/>
      <c r="K93" s="272"/>
      <c r="L93" s="272"/>
      <c r="M93" s="272"/>
      <c r="N93" s="272"/>
      <c r="O93" s="272"/>
      <c r="P93" s="272"/>
      <c r="Q93" s="272"/>
      <c r="R93" s="272"/>
      <c r="S93" s="272"/>
      <c r="T93" s="272"/>
      <c r="U93" s="272"/>
      <c r="V93" s="272"/>
      <c r="W93" s="274" t="s">
        <v>302</v>
      </c>
      <c r="X93" s="275">
        <f t="shared" si="140"/>
        <v>0</v>
      </c>
      <c r="Y93" s="277"/>
      <c r="Z93" s="272"/>
      <c r="AA93" s="277"/>
      <c r="AB93" s="274"/>
      <c r="AC93" s="295"/>
    </row>
    <row r="94" spans="2:43" x14ac:dyDescent="0.35">
      <c r="B94" s="271"/>
      <c r="C94" s="268">
        <v>200</v>
      </c>
      <c r="D94" s="272"/>
      <c r="E94" s="272"/>
      <c r="F94" s="272"/>
      <c r="G94" s="272"/>
      <c r="H94" s="272"/>
      <c r="I94" s="277"/>
      <c r="J94" s="272"/>
      <c r="K94" s="272"/>
      <c r="L94" s="272"/>
      <c r="M94" s="272"/>
      <c r="N94" s="272"/>
      <c r="O94" s="272"/>
      <c r="P94" s="272"/>
      <c r="Q94" s="272"/>
      <c r="R94" s="272"/>
      <c r="S94" s="272"/>
      <c r="T94" s="272"/>
      <c r="U94" s="272"/>
      <c r="V94" s="272"/>
      <c r="W94" s="274" t="s">
        <v>103</v>
      </c>
      <c r="X94" s="275"/>
      <c r="Y94" s="277"/>
      <c r="Z94" s="272"/>
      <c r="AA94" s="277"/>
      <c r="AB94" s="274"/>
      <c r="AC94" s="295"/>
    </row>
    <row r="95" spans="2:43" ht="16.5" x14ac:dyDescent="0.35">
      <c r="B95" s="272" t="str">
        <f t="shared" ref="B95:B104" si="172">$B$93&amp;"_"&amp;W95</f>
        <v>Tagkonstruktion_Gitterspær</v>
      </c>
      <c r="C95" s="276">
        <v>120</v>
      </c>
      <c r="D95" s="277">
        <v>-18.05</v>
      </c>
      <c r="E95" s="277">
        <v>0</v>
      </c>
      <c r="F95" s="277">
        <v>0</v>
      </c>
      <c r="G95" s="277">
        <v>19.329999999999998</v>
      </c>
      <c r="H95" s="277">
        <v>0</v>
      </c>
      <c r="I95" s="277">
        <f>D95+G95+H95</f>
        <v>1.2799999999999976</v>
      </c>
      <c r="J95" s="277">
        <v>-9.85</v>
      </c>
      <c r="K95" s="276" t="s">
        <v>270</v>
      </c>
      <c r="L95" s="276">
        <v>295</v>
      </c>
      <c r="M95" s="272" t="s">
        <v>315</v>
      </c>
      <c r="N95" s="272"/>
      <c r="O95" s="277">
        <f t="shared" ref="O95:O104" si="173">D95/L95</f>
        <v>-6.1186440677966102E-2</v>
      </c>
      <c r="P95" s="277">
        <f t="shared" ref="P95:P104" si="174">E95/L95</f>
        <v>0</v>
      </c>
      <c r="Q95" s="277">
        <f t="shared" ref="Q95:Q104" si="175">F95/L95</f>
        <v>0</v>
      </c>
      <c r="R95" s="277">
        <f t="shared" ref="R95:R104" si="176">G95/L95</f>
        <v>6.552542372881355E-2</v>
      </c>
      <c r="S95" s="277">
        <f t="shared" ref="S95:S104" si="177">H95/L95</f>
        <v>0</v>
      </c>
      <c r="T95" s="277">
        <f t="shared" ref="T95:T104" si="178">I95/L95</f>
        <v>4.3389830508474498E-3</v>
      </c>
      <c r="U95" s="277">
        <f t="shared" ref="U95:U104" si="179">J95/L95</f>
        <v>-3.3389830508474577E-2</v>
      </c>
      <c r="V95" s="272"/>
      <c r="W95" s="272" t="s">
        <v>316</v>
      </c>
      <c r="X95" s="277">
        <f t="shared" ref="X95:X104" si="180">T95</f>
        <v>4.3389830508474498E-3</v>
      </c>
      <c r="Y95" s="277">
        <v>12.11</v>
      </c>
      <c r="Z95" s="277" t="s">
        <v>858</v>
      </c>
      <c r="AA95" s="282">
        <f>Y95/L95</f>
        <v>4.1050847457627118E-2</v>
      </c>
      <c r="AB95" s="274"/>
      <c r="AC95" s="540">
        <f>I95</f>
        <v>1.2799999999999976</v>
      </c>
    </row>
    <row r="96" spans="2:43" ht="16.5" x14ac:dyDescent="0.35">
      <c r="B96" s="272" t="str">
        <f t="shared" si="172"/>
        <v>Tagkonstruktion_Bjælkespær</v>
      </c>
      <c r="C96" s="276">
        <v>120</v>
      </c>
      <c r="D96" s="277">
        <v>-16.52</v>
      </c>
      <c r="E96" s="277">
        <v>0</v>
      </c>
      <c r="F96" s="277">
        <v>0</v>
      </c>
      <c r="G96" s="277">
        <v>17.690000000000001</v>
      </c>
      <c r="H96" s="277">
        <v>0</v>
      </c>
      <c r="I96" s="277">
        <f t="shared" ref="I96:I104" si="181">D96+G96+H96</f>
        <v>1.1700000000000017</v>
      </c>
      <c r="J96" s="277">
        <v>-9.0150000000000006</v>
      </c>
      <c r="K96" s="276" t="s">
        <v>270</v>
      </c>
      <c r="L96" s="276">
        <v>295</v>
      </c>
      <c r="M96" s="272" t="s">
        <v>317</v>
      </c>
      <c r="N96" s="272"/>
      <c r="O96" s="277">
        <f t="shared" si="173"/>
        <v>-5.6000000000000001E-2</v>
      </c>
      <c r="P96" s="277">
        <f t="shared" si="174"/>
        <v>0</v>
      </c>
      <c r="Q96" s="277">
        <f t="shared" si="175"/>
        <v>0</v>
      </c>
      <c r="R96" s="277">
        <f t="shared" si="176"/>
        <v>5.9966101694915258E-2</v>
      </c>
      <c r="S96" s="277">
        <f t="shared" si="177"/>
        <v>0</v>
      </c>
      <c r="T96" s="277">
        <f t="shared" si="178"/>
        <v>3.9661016949152604E-3</v>
      </c>
      <c r="U96" s="277">
        <f t="shared" si="179"/>
        <v>-3.0559322033898308E-2</v>
      </c>
      <c r="V96" s="272"/>
      <c r="W96" s="272" t="s">
        <v>318</v>
      </c>
      <c r="X96" s="277">
        <f t="shared" si="180"/>
        <v>3.9661016949152604E-3</v>
      </c>
      <c r="Y96" s="277">
        <v>11.08</v>
      </c>
      <c r="Z96" s="277" t="s">
        <v>859</v>
      </c>
      <c r="AA96" s="282">
        <f>Y96/L96</f>
        <v>3.7559322033898307E-2</v>
      </c>
      <c r="AB96" s="274"/>
      <c r="AC96" s="540">
        <f t="shared" ref="AC96:AC104" si="182">I96</f>
        <v>1.1700000000000017</v>
      </c>
    </row>
    <row r="97" spans="2:29" ht="16.5" x14ac:dyDescent="0.35">
      <c r="B97" s="272" t="str">
        <f t="shared" si="172"/>
        <v>Tagkonstruktion_Hanebåndsspær</v>
      </c>
      <c r="C97" s="276">
        <v>120</v>
      </c>
      <c r="D97" s="277">
        <v>-18.5</v>
      </c>
      <c r="E97" s="277">
        <v>0</v>
      </c>
      <c r="F97" s="277">
        <v>0</v>
      </c>
      <c r="G97" s="277">
        <v>19.8</v>
      </c>
      <c r="H97" s="277">
        <v>0</v>
      </c>
      <c r="I97" s="277">
        <f t="shared" si="181"/>
        <v>1.3000000000000007</v>
      </c>
      <c r="J97" s="277">
        <f>-5.565-1.298-3.228</f>
        <v>-10.091000000000001</v>
      </c>
      <c r="K97" s="276" t="s">
        <v>270</v>
      </c>
      <c r="L97" s="276">
        <v>295</v>
      </c>
      <c r="M97" s="272" t="s">
        <v>315</v>
      </c>
      <c r="N97" s="272"/>
      <c r="O97" s="277">
        <f t="shared" si="173"/>
        <v>-6.2711864406779658E-2</v>
      </c>
      <c r="P97" s="277">
        <f t="shared" si="174"/>
        <v>0</v>
      </c>
      <c r="Q97" s="277">
        <f t="shared" si="175"/>
        <v>0</v>
      </c>
      <c r="R97" s="277">
        <f t="shared" si="176"/>
        <v>6.7118644067796607E-2</v>
      </c>
      <c r="S97" s="277">
        <f t="shared" si="177"/>
        <v>0</v>
      </c>
      <c r="T97" s="277">
        <f t="shared" si="178"/>
        <v>4.4067796610169517E-3</v>
      </c>
      <c r="U97" s="277">
        <f t="shared" si="179"/>
        <v>-3.4206779661016956E-2</v>
      </c>
      <c r="V97" s="272"/>
      <c r="W97" s="272" t="s">
        <v>319</v>
      </c>
      <c r="X97" s="277">
        <f t="shared" si="180"/>
        <v>4.4067796610169517E-3</v>
      </c>
      <c r="Y97" s="277">
        <v>12.4</v>
      </c>
      <c r="Z97" s="277" t="s">
        <v>858</v>
      </c>
      <c r="AA97" s="282">
        <f>Y97/L97</f>
        <v>4.2033898305084749E-2</v>
      </c>
      <c r="AB97" s="274"/>
      <c r="AC97" s="540">
        <f t="shared" si="182"/>
        <v>1.3000000000000007</v>
      </c>
    </row>
    <row r="98" spans="2:29" x14ac:dyDescent="0.35">
      <c r="B98" s="272" t="str">
        <f t="shared" si="172"/>
        <v>Tagkonstruktion_Betonhuldæk</v>
      </c>
      <c r="C98" s="276">
        <v>120</v>
      </c>
      <c r="D98" s="277">
        <f>58.41+4.92</f>
        <v>63.33</v>
      </c>
      <c r="E98" s="277">
        <v>0</v>
      </c>
      <c r="F98" s="277">
        <v>0</v>
      </c>
      <c r="G98" s="277">
        <v>0.92549999999999999</v>
      </c>
      <c r="H98" s="277">
        <v>4.9109039999999998E-3</v>
      </c>
      <c r="I98" s="277">
        <f t="shared" si="181"/>
        <v>64.260410903999997</v>
      </c>
      <c r="J98" s="277">
        <v>-3.46</v>
      </c>
      <c r="K98" s="276" t="s">
        <v>270</v>
      </c>
      <c r="L98" s="276">
        <v>180</v>
      </c>
      <c r="M98" s="272"/>
      <c r="N98" s="272"/>
      <c r="O98" s="277">
        <f t="shared" si="173"/>
        <v>0.35183333333333333</v>
      </c>
      <c r="P98" s="277">
        <f t="shared" si="174"/>
        <v>0</v>
      </c>
      <c r="Q98" s="277">
        <f t="shared" si="175"/>
        <v>0</v>
      </c>
      <c r="R98" s="277">
        <f t="shared" si="176"/>
        <v>5.1416666666666668E-3</v>
      </c>
      <c r="S98" s="277">
        <f t="shared" si="177"/>
        <v>2.7282799999999999E-5</v>
      </c>
      <c r="T98" s="277">
        <f t="shared" si="178"/>
        <v>0.35700228279999996</v>
      </c>
      <c r="U98" s="277">
        <f t="shared" si="179"/>
        <v>-1.922222222222222E-2</v>
      </c>
      <c r="V98" s="272"/>
      <c r="W98" s="272" t="s">
        <v>320</v>
      </c>
      <c r="X98" s="277">
        <f t="shared" si="180"/>
        <v>0.35700228279999996</v>
      </c>
      <c r="Y98" s="277"/>
      <c r="Z98" s="277"/>
      <c r="AA98" s="277"/>
      <c r="AB98" s="274"/>
      <c r="AC98" s="540">
        <f>I98</f>
        <v>64.260410903999997</v>
      </c>
    </row>
    <row r="99" spans="2:29" ht="16.5" x14ac:dyDescent="0.35">
      <c r="B99" s="272" t="str">
        <f t="shared" si="172"/>
        <v>Tagkonstruktion_CLT</v>
      </c>
      <c r="C99" s="276">
        <v>120</v>
      </c>
      <c r="D99" s="277">
        <v>-16.14</v>
      </c>
      <c r="E99" s="277">
        <v>0</v>
      </c>
      <c r="F99" s="277">
        <v>0</v>
      </c>
      <c r="G99" s="277">
        <v>18.079999999999998</v>
      </c>
      <c r="H99" s="277">
        <v>0</v>
      </c>
      <c r="I99" s="277">
        <f t="shared" si="181"/>
        <v>1.9399999999999977</v>
      </c>
      <c r="J99" s="277">
        <v>-9.4039999999999999</v>
      </c>
      <c r="K99" s="276" t="s">
        <v>270</v>
      </c>
      <c r="L99" s="276">
        <v>295</v>
      </c>
      <c r="M99" s="272"/>
      <c r="N99" s="272"/>
      <c r="O99" s="277">
        <f t="shared" si="173"/>
        <v>-5.4711864406779664E-2</v>
      </c>
      <c r="P99" s="277">
        <f t="shared" si="174"/>
        <v>0</v>
      </c>
      <c r="Q99" s="277">
        <f t="shared" si="175"/>
        <v>0</v>
      </c>
      <c r="R99" s="277">
        <f t="shared" si="176"/>
        <v>6.1288135593220334E-2</v>
      </c>
      <c r="S99" s="277">
        <f t="shared" si="177"/>
        <v>0</v>
      </c>
      <c r="T99" s="277">
        <f t="shared" si="178"/>
        <v>6.57627118644067E-3</v>
      </c>
      <c r="U99" s="277">
        <f t="shared" si="179"/>
        <v>-3.1877966101694917E-2</v>
      </c>
      <c r="V99" s="272"/>
      <c r="W99" s="272" t="s">
        <v>299</v>
      </c>
      <c r="X99" s="277">
        <f t="shared" si="180"/>
        <v>6.57627118644067E-3</v>
      </c>
      <c r="Y99" s="277">
        <v>11.42</v>
      </c>
      <c r="Z99" s="277" t="s">
        <v>859</v>
      </c>
      <c r="AA99" s="282">
        <f>Y99/L99</f>
        <v>3.8711864406779664E-2</v>
      </c>
      <c r="AB99" s="274"/>
      <c r="AC99" s="540">
        <f t="shared" si="182"/>
        <v>1.9399999999999977</v>
      </c>
    </row>
    <row r="100" spans="2:29" x14ac:dyDescent="0.35">
      <c r="B100" s="272" t="str">
        <f t="shared" si="172"/>
        <v>Tagkonstruktion_Stålspær</v>
      </c>
      <c r="C100" s="276">
        <v>120</v>
      </c>
      <c r="D100" s="277">
        <v>6.9610000000000003</v>
      </c>
      <c r="E100" s="277">
        <v>0</v>
      </c>
      <c r="F100" s="277">
        <v>0</v>
      </c>
      <c r="G100" s="277">
        <v>0</v>
      </c>
      <c r="H100" s="277">
        <v>4.0920000000000002E-3</v>
      </c>
      <c r="I100" s="277">
        <f t="shared" si="181"/>
        <v>6.9650920000000003</v>
      </c>
      <c r="J100" s="277">
        <v>-2.7509999999999999</v>
      </c>
      <c r="K100" s="276" t="s">
        <v>270</v>
      </c>
      <c r="L100" s="276">
        <v>300</v>
      </c>
      <c r="M100" s="272"/>
      <c r="N100" s="272"/>
      <c r="O100" s="277">
        <f t="shared" si="173"/>
        <v>2.3203333333333333E-2</v>
      </c>
      <c r="P100" s="277">
        <f t="shared" si="174"/>
        <v>0</v>
      </c>
      <c r="Q100" s="277">
        <f t="shared" si="175"/>
        <v>0</v>
      </c>
      <c r="R100" s="277">
        <f t="shared" si="176"/>
        <v>0</v>
      </c>
      <c r="S100" s="277">
        <f t="shared" si="177"/>
        <v>1.364E-5</v>
      </c>
      <c r="T100" s="277">
        <f t="shared" si="178"/>
        <v>2.3216973333333335E-2</v>
      </c>
      <c r="U100" s="277">
        <f t="shared" si="179"/>
        <v>-9.1699999999999993E-3</v>
      </c>
      <c r="V100" s="272"/>
      <c r="W100" s="272" t="s">
        <v>860</v>
      </c>
      <c r="X100" s="277">
        <f t="shared" si="180"/>
        <v>2.3216973333333335E-2</v>
      </c>
      <c r="Y100" s="277"/>
      <c r="Z100" s="277"/>
      <c r="AA100" s="277"/>
      <c r="AB100" s="274"/>
      <c r="AC100" s="540">
        <f t="shared" si="182"/>
        <v>6.9650920000000003</v>
      </c>
    </row>
    <row r="101" spans="2:29" x14ac:dyDescent="0.35">
      <c r="B101" s="272" t="str">
        <f t="shared" ref="B101" si="183">$B$93&amp;"_"&amp;W101</f>
        <v>Tagkonstruktion_Genbrugs konstruktion</v>
      </c>
      <c r="C101" s="276">
        <v>50</v>
      </c>
      <c r="D101" s="277">
        <v>0</v>
      </c>
      <c r="E101" s="277">
        <v>0</v>
      </c>
      <c r="F101" s="277">
        <v>0</v>
      </c>
      <c r="G101" s="277">
        <v>0</v>
      </c>
      <c r="H101" s="277">
        <v>0</v>
      </c>
      <c r="I101" s="277">
        <f t="shared" ref="I101" si="184">D101+G101+H101</f>
        <v>0</v>
      </c>
      <c r="J101" s="277">
        <v>0</v>
      </c>
      <c r="K101" s="276" t="s">
        <v>270</v>
      </c>
      <c r="L101" s="276">
        <v>1</v>
      </c>
      <c r="M101" s="272"/>
      <c r="N101" s="272"/>
      <c r="O101" s="277">
        <f t="shared" ref="O101" si="185">D101/L101</f>
        <v>0</v>
      </c>
      <c r="P101" s="277">
        <f t="shared" ref="P101" si="186">E101/L101</f>
        <v>0</v>
      </c>
      <c r="Q101" s="277">
        <f t="shared" ref="Q101" si="187">F101/L101</f>
        <v>0</v>
      </c>
      <c r="R101" s="277">
        <f t="shared" ref="R101" si="188">G101/L101</f>
        <v>0</v>
      </c>
      <c r="S101" s="277">
        <f t="shared" ref="S101" si="189">H101/L101</f>
        <v>0</v>
      </c>
      <c r="T101" s="277">
        <f t="shared" ref="T101" si="190">I101/L101</f>
        <v>0</v>
      </c>
      <c r="U101" s="277">
        <f t="shared" ref="U101" si="191">J101/L101</f>
        <v>0</v>
      </c>
      <c r="V101" s="272"/>
      <c r="W101" s="272" t="s">
        <v>1005</v>
      </c>
      <c r="X101" s="277">
        <f t="shared" ref="X101" si="192">T101</f>
        <v>0</v>
      </c>
      <c r="Y101" s="277"/>
      <c r="Z101" s="277"/>
      <c r="AA101" s="277"/>
      <c r="AB101" s="274"/>
      <c r="AC101" s="540"/>
    </row>
    <row r="102" spans="2:29" x14ac:dyDescent="0.35">
      <c r="B102" s="272" t="str">
        <f t="shared" ref="B102" si="193">$B$93&amp;"_"&amp;W102</f>
        <v>Tagkonstruktion_Brugerdefineret_1</v>
      </c>
      <c r="C102" s="652">
        <v>100</v>
      </c>
      <c r="D102" s="651">
        <v>0</v>
      </c>
      <c r="E102" s="651">
        <v>0</v>
      </c>
      <c r="F102" s="651">
        <v>0</v>
      </c>
      <c r="G102" s="651">
        <v>0</v>
      </c>
      <c r="H102" s="651">
        <v>0</v>
      </c>
      <c r="I102" s="651">
        <f t="shared" ref="I102" si="194">D102+G102+H102</f>
        <v>0</v>
      </c>
      <c r="J102" s="651">
        <v>0</v>
      </c>
      <c r="K102" s="650" t="s">
        <v>288</v>
      </c>
      <c r="L102" s="650">
        <v>1</v>
      </c>
      <c r="M102" s="272"/>
      <c r="N102" s="272"/>
      <c r="O102" s="277">
        <f t="shared" ref="O102" si="195">D102/L102</f>
        <v>0</v>
      </c>
      <c r="P102" s="277">
        <f t="shared" ref="P102" si="196">E102/L102</f>
        <v>0</v>
      </c>
      <c r="Q102" s="277">
        <f t="shared" ref="Q102" si="197">F102/L102</f>
        <v>0</v>
      </c>
      <c r="R102" s="277">
        <f t="shared" ref="R102" si="198">G102/L102</f>
        <v>0</v>
      </c>
      <c r="S102" s="277">
        <f t="shared" ref="S102" si="199">H102/L102</f>
        <v>0</v>
      </c>
      <c r="T102" s="277">
        <f t="shared" ref="T102" si="200">I102/L102</f>
        <v>0</v>
      </c>
      <c r="U102" s="277">
        <f t="shared" ref="U102" si="201">J102/L102</f>
        <v>0</v>
      </c>
      <c r="V102" s="272"/>
      <c r="W102" s="653" t="s">
        <v>280</v>
      </c>
      <c r="X102" s="277">
        <f t="shared" ref="X102" si="202">T102</f>
        <v>0</v>
      </c>
      <c r="Y102" s="277"/>
      <c r="Z102" s="277"/>
      <c r="AA102" s="277"/>
      <c r="AB102" s="274"/>
      <c r="AC102" s="540">
        <f t="shared" si="182"/>
        <v>0</v>
      </c>
    </row>
    <row r="103" spans="2:29" x14ac:dyDescent="0.35">
      <c r="B103" s="272" t="str">
        <f t="shared" ref="B103" si="203">$B$93&amp;"_"&amp;W103</f>
        <v>Tagkonstruktion_Brugerdefineret_2</v>
      </c>
      <c r="C103" s="652">
        <v>100</v>
      </c>
      <c r="D103" s="651">
        <v>0</v>
      </c>
      <c r="E103" s="651">
        <v>0</v>
      </c>
      <c r="F103" s="651">
        <v>0</v>
      </c>
      <c r="G103" s="651">
        <v>0</v>
      </c>
      <c r="H103" s="651">
        <v>0</v>
      </c>
      <c r="I103" s="651">
        <f t="shared" ref="I103" si="204">D103+G103+H103</f>
        <v>0</v>
      </c>
      <c r="J103" s="651">
        <v>0</v>
      </c>
      <c r="K103" s="650" t="s">
        <v>288</v>
      </c>
      <c r="L103" s="650">
        <v>1</v>
      </c>
      <c r="M103" s="272"/>
      <c r="N103" s="272"/>
      <c r="O103" s="277">
        <f t="shared" ref="O103" si="205">D103/L103</f>
        <v>0</v>
      </c>
      <c r="P103" s="277">
        <f t="shared" ref="P103" si="206">E103/L103</f>
        <v>0</v>
      </c>
      <c r="Q103" s="277">
        <f t="shared" ref="Q103" si="207">F103/L103</f>
        <v>0</v>
      </c>
      <c r="R103" s="277">
        <f t="shared" ref="R103" si="208">G103/L103</f>
        <v>0</v>
      </c>
      <c r="S103" s="277">
        <f t="shared" ref="S103" si="209">H103/L103</f>
        <v>0</v>
      </c>
      <c r="T103" s="277">
        <f t="shared" ref="T103" si="210">I103/L103</f>
        <v>0</v>
      </c>
      <c r="U103" s="277">
        <f t="shared" ref="U103" si="211">J103/L103</f>
        <v>0</v>
      </c>
      <c r="V103" s="272"/>
      <c r="W103" s="653" t="s">
        <v>281</v>
      </c>
      <c r="X103" s="277">
        <f t="shared" ref="X103" si="212">T103</f>
        <v>0</v>
      </c>
      <c r="Y103" s="277"/>
      <c r="Z103" s="277"/>
      <c r="AA103" s="277"/>
      <c r="AB103" s="274"/>
      <c r="AC103" s="540">
        <f t="shared" si="182"/>
        <v>0</v>
      </c>
    </row>
    <row r="104" spans="2:29" x14ac:dyDescent="0.35">
      <c r="B104" s="272" t="str">
        <f t="shared" si="172"/>
        <v>Tagkonstruktion_Brugerdefineret_3</v>
      </c>
      <c r="C104" s="652">
        <v>100</v>
      </c>
      <c r="D104" s="651">
        <v>0</v>
      </c>
      <c r="E104" s="651">
        <v>0</v>
      </c>
      <c r="F104" s="651">
        <v>0</v>
      </c>
      <c r="G104" s="651">
        <v>0</v>
      </c>
      <c r="H104" s="651">
        <v>0</v>
      </c>
      <c r="I104" s="651">
        <f t="shared" si="181"/>
        <v>0</v>
      </c>
      <c r="J104" s="651">
        <v>0</v>
      </c>
      <c r="K104" s="650" t="s">
        <v>288</v>
      </c>
      <c r="L104" s="650">
        <v>1</v>
      </c>
      <c r="M104" s="272"/>
      <c r="N104" s="272"/>
      <c r="O104" s="277">
        <f t="shared" si="173"/>
        <v>0</v>
      </c>
      <c r="P104" s="277">
        <f t="shared" si="174"/>
        <v>0</v>
      </c>
      <c r="Q104" s="277">
        <f t="shared" si="175"/>
        <v>0</v>
      </c>
      <c r="R104" s="277">
        <f t="shared" si="176"/>
        <v>0</v>
      </c>
      <c r="S104" s="277">
        <f t="shared" si="177"/>
        <v>0</v>
      </c>
      <c r="T104" s="277">
        <f t="shared" si="178"/>
        <v>0</v>
      </c>
      <c r="U104" s="277">
        <f t="shared" si="179"/>
        <v>0</v>
      </c>
      <c r="V104" s="272"/>
      <c r="W104" s="653" t="s">
        <v>282</v>
      </c>
      <c r="X104" s="277">
        <f t="shared" si="180"/>
        <v>0</v>
      </c>
      <c r="Y104" s="277"/>
      <c r="Z104" s="277"/>
      <c r="AA104" s="277"/>
      <c r="AB104" s="274"/>
      <c r="AC104" s="540">
        <f t="shared" si="182"/>
        <v>0</v>
      </c>
    </row>
    <row r="105" spans="2:29" ht="23.5" x14ac:dyDescent="0.55000000000000004">
      <c r="B105" s="281" t="s">
        <v>321</v>
      </c>
      <c r="C105" s="276"/>
      <c r="D105" s="272"/>
      <c r="E105" s="272"/>
      <c r="F105" s="272"/>
      <c r="G105" s="272"/>
      <c r="H105" s="272"/>
      <c r="I105" s="277"/>
      <c r="J105" s="272"/>
      <c r="K105" s="272"/>
      <c r="L105" s="272"/>
      <c r="M105" s="272"/>
      <c r="N105" s="272"/>
      <c r="O105" s="272"/>
      <c r="P105" s="272"/>
      <c r="Q105" s="272"/>
      <c r="R105" s="272"/>
      <c r="S105" s="272"/>
      <c r="T105" s="272"/>
      <c r="U105" s="272"/>
      <c r="V105" s="272"/>
      <c r="W105" s="274" t="s">
        <v>302</v>
      </c>
      <c r="X105" s="275">
        <f t="shared" ref="X105" si="213">T105</f>
        <v>0</v>
      </c>
      <c r="Y105" s="277"/>
      <c r="Z105" s="272"/>
      <c r="AA105" s="277"/>
      <c r="AB105" s="274"/>
      <c r="AC105" s="295"/>
    </row>
    <row r="106" spans="2:29" x14ac:dyDescent="0.35">
      <c r="B106" s="271"/>
      <c r="C106" s="268">
        <v>200</v>
      </c>
      <c r="D106" s="272"/>
      <c r="E106" s="272"/>
      <c r="F106" s="272"/>
      <c r="G106" s="272"/>
      <c r="H106" s="272"/>
      <c r="I106" s="277"/>
      <c r="J106" s="272"/>
      <c r="K106" s="272"/>
      <c r="L106" s="272"/>
      <c r="M106" s="272"/>
      <c r="N106" s="272"/>
      <c r="O106" s="272"/>
      <c r="P106" s="272"/>
      <c r="Q106" s="272"/>
      <c r="R106" s="272"/>
      <c r="S106" s="272"/>
      <c r="T106" s="272"/>
      <c r="U106" s="272"/>
      <c r="V106" s="272"/>
      <c r="W106" s="274" t="s">
        <v>103</v>
      </c>
      <c r="X106" s="275"/>
      <c r="Y106" s="277"/>
      <c r="Z106" s="272"/>
      <c r="AA106" s="277"/>
      <c r="AB106" s="274"/>
      <c r="AC106" s="295"/>
    </row>
    <row r="107" spans="2:29" x14ac:dyDescent="0.35">
      <c r="B107" s="272" t="str">
        <f t="shared" ref="B107:B118" si="214">$B$105&amp;"_"&amp;W107</f>
        <v>Loftsbeklædning_Træbetonplader</v>
      </c>
      <c r="C107" s="276">
        <v>50</v>
      </c>
      <c r="D107" s="277">
        <v>-0.73419999999999996</v>
      </c>
      <c r="E107" s="277">
        <v>0</v>
      </c>
      <c r="F107" s="277">
        <v>0</v>
      </c>
      <c r="G107" s="277">
        <v>7.9359999999999999</v>
      </c>
      <c r="H107" s="277">
        <v>0</v>
      </c>
      <c r="I107" s="277">
        <f>D107+G107+H107</f>
        <v>7.2018000000000004</v>
      </c>
      <c r="J107" s="277">
        <v>-2.8450000000000002</v>
      </c>
      <c r="K107" s="276" t="s">
        <v>270</v>
      </c>
      <c r="L107" s="277">
        <v>25</v>
      </c>
      <c r="M107" s="272"/>
      <c r="N107" s="272"/>
      <c r="O107" s="277">
        <f t="shared" ref="O107:O118" si="215">D107/L107</f>
        <v>-2.9367999999999998E-2</v>
      </c>
      <c r="P107" s="277">
        <f t="shared" ref="P107:P118" si="216">E107/L107</f>
        <v>0</v>
      </c>
      <c r="Q107" s="277">
        <f t="shared" ref="Q107:Q118" si="217">F107/L107</f>
        <v>0</v>
      </c>
      <c r="R107" s="277">
        <f t="shared" ref="R107:R118" si="218">G107/L107</f>
        <v>0.31744</v>
      </c>
      <c r="S107" s="277">
        <f t="shared" ref="S107:S118" si="219">H107/L107</f>
        <v>0</v>
      </c>
      <c r="T107" s="277">
        <f t="shared" ref="T107:T118" si="220">I107/L107</f>
        <v>0.28807199999999999</v>
      </c>
      <c r="U107" s="277">
        <f t="shared" ref="U107:U118" si="221">J107/L107</f>
        <v>-0.11380000000000001</v>
      </c>
      <c r="V107" s="272"/>
      <c r="W107" s="272" t="s">
        <v>322</v>
      </c>
      <c r="X107" s="277">
        <f t="shared" ref="X107:X118" si="222">T107</f>
        <v>0.28807199999999999</v>
      </c>
      <c r="Y107" s="272"/>
      <c r="Z107" s="272"/>
      <c r="AA107" s="277"/>
      <c r="AB107" s="274">
        <f>IF(C107&lt;$AB$75,1,0)+IF(C107*2&lt;$AB$75,1,0)+IF(C107*3&lt;$AB$75,1,0)</f>
        <v>0</v>
      </c>
      <c r="AC107" s="295">
        <f>I107*AB107+I107</f>
        <v>7.2018000000000004</v>
      </c>
    </row>
    <row r="108" spans="2:29" ht="16.5" x14ac:dyDescent="0.35">
      <c r="B108" s="272" t="str">
        <f t="shared" si="214"/>
        <v>Loftsbeklædning_Bræddeloft</v>
      </c>
      <c r="C108" s="276">
        <v>50</v>
      </c>
      <c r="D108" s="277">
        <v>-16.399999999999999</v>
      </c>
      <c r="E108" s="277">
        <v>0</v>
      </c>
      <c r="F108" s="277">
        <v>0</v>
      </c>
      <c r="G108" s="277">
        <v>19.920000000000002</v>
      </c>
      <c r="H108" s="277">
        <v>0</v>
      </c>
      <c r="I108" s="277">
        <f>D108+G108+H108</f>
        <v>3.5200000000000031</v>
      </c>
      <c r="J108" s="277">
        <v>-5.2869999999999999</v>
      </c>
      <c r="K108" s="276" t="s">
        <v>270</v>
      </c>
      <c r="L108" s="277">
        <v>15</v>
      </c>
      <c r="M108" s="272"/>
      <c r="N108" s="272"/>
      <c r="O108" s="277">
        <f t="shared" si="215"/>
        <v>-1.0933333333333333</v>
      </c>
      <c r="P108" s="277">
        <f t="shared" si="216"/>
        <v>0</v>
      </c>
      <c r="Q108" s="277">
        <f t="shared" si="217"/>
        <v>0</v>
      </c>
      <c r="R108" s="277">
        <f t="shared" si="218"/>
        <v>1.3280000000000001</v>
      </c>
      <c r="S108" s="277">
        <f t="shared" si="219"/>
        <v>0</v>
      </c>
      <c r="T108" s="277">
        <f t="shared" si="220"/>
        <v>0.23466666666666688</v>
      </c>
      <c r="U108" s="277">
        <f t="shared" si="221"/>
        <v>-0.35246666666666665</v>
      </c>
      <c r="V108" s="272"/>
      <c r="W108" s="272" t="s">
        <v>323</v>
      </c>
      <c r="X108" s="277">
        <f t="shared" si="222"/>
        <v>0.23466666666666688</v>
      </c>
      <c r="Y108" s="277">
        <v>11.09</v>
      </c>
      <c r="Z108" s="277" t="s">
        <v>859</v>
      </c>
      <c r="AA108" s="282">
        <f>Y108/L108</f>
        <v>0.73933333333333329</v>
      </c>
      <c r="AB108" s="274">
        <f t="shared" ref="AB108:AB118" si="223">IF(C108&lt;$AB$75,1,0)+IF(C108*2&lt;$AB$75,1,0)+IF(C108*3&lt;$AB$75,1,0)</f>
        <v>0</v>
      </c>
      <c r="AC108" s="295">
        <f t="shared" ref="AC108:AC118" si="224">I108*AB108+I108</f>
        <v>3.5200000000000031</v>
      </c>
    </row>
    <row r="109" spans="2:29" ht="16.5" x14ac:dyDescent="0.35">
      <c r="B109" s="272" t="str">
        <f t="shared" si="214"/>
        <v>Loftsbeklædning_Nedhængt akustik systemloft</v>
      </c>
      <c r="C109" s="276">
        <v>30</v>
      </c>
      <c r="D109" s="277">
        <v>10.79</v>
      </c>
      <c r="E109" s="277">
        <v>10.79</v>
      </c>
      <c r="F109" s="277">
        <v>0</v>
      </c>
      <c r="G109" s="277">
        <v>0.13</v>
      </c>
      <c r="H109" s="277">
        <v>6.6089999999999996E-2</v>
      </c>
      <c r="I109" s="277">
        <f>D109+G109+H109</f>
        <v>10.986090000000001</v>
      </c>
      <c r="J109" s="277">
        <v>-1.6539999999999999</v>
      </c>
      <c r="K109" s="276" t="s">
        <v>270</v>
      </c>
      <c r="L109" s="277">
        <v>15</v>
      </c>
      <c r="M109" s="272"/>
      <c r="N109" s="272"/>
      <c r="O109" s="277">
        <f t="shared" si="215"/>
        <v>0.71933333333333327</v>
      </c>
      <c r="P109" s="277">
        <f t="shared" si="216"/>
        <v>0.71933333333333327</v>
      </c>
      <c r="Q109" s="277">
        <f t="shared" si="217"/>
        <v>0</v>
      </c>
      <c r="R109" s="277">
        <f t="shared" si="218"/>
        <v>8.6666666666666663E-3</v>
      </c>
      <c r="S109" s="277">
        <f t="shared" si="219"/>
        <v>4.4059999999999993E-3</v>
      </c>
      <c r="T109" s="277">
        <f t="shared" si="220"/>
        <v>0.732406</v>
      </c>
      <c r="U109" s="277">
        <f t="shared" si="221"/>
        <v>-0.11026666666666667</v>
      </c>
      <c r="V109" s="272"/>
      <c r="W109" s="272" t="s">
        <v>324</v>
      </c>
      <c r="X109" s="277">
        <f t="shared" si="222"/>
        <v>0.732406</v>
      </c>
      <c r="Y109" s="277">
        <v>17.09</v>
      </c>
      <c r="Z109" s="277" t="s">
        <v>859</v>
      </c>
      <c r="AA109" s="282">
        <f>Y109/L109</f>
        <v>1.1393333333333333</v>
      </c>
      <c r="AB109" s="274">
        <f t="shared" si="223"/>
        <v>1</v>
      </c>
      <c r="AC109" s="295">
        <f t="shared" si="224"/>
        <v>21.972180000000002</v>
      </c>
    </row>
    <row r="110" spans="2:29" ht="16.5" x14ac:dyDescent="0.35">
      <c r="B110" s="272" t="str">
        <f t="shared" si="214"/>
        <v>Loftsbeklædning_Perforeret krydsfiner</v>
      </c>
      <c r="C110" s="276">
        <v>50</v>
      </c>
      <c r="D110" s="277">
        <v>-9.19</v>
      </c>
      <c r="E110" s="277">
        <v>0</v>
      </c>
      <c r="F110" s="277">
        <v>0</v>
      </c>
      <c r="G110" s="277">
        <v>13.67</v>
      </c>
      <c r="H110" s="277">
        <v>6.8207000000000006E-5</v>
      </c>
      <c r="I110" s="277">
        <f>D110+G110+H110</f>
        <v>4.4800682070000004</v>
      </c>
      <c r="J110" s="277">
        <v>-6.69</v>
      </c>
      <c r="K110" s="276" t="s">
        <v>270</v>
      </c>
      <c r="L110" s="277">
        <v>15</v>
      </c>
      <c r="M110" s="272"/>
      <c r="N110" s="272"/>
      <c r="O110" s="277">
        <f t="shared" si="215"/>
        <v>-0.61266666666666658</v>
      </c>
      <c r="P110" s="277">
        <f t="shared" si="216"/>
        <v>0</v>
      </c>
      <c r="Q110" s="277">
        <f t="shared" si="217"/>
        <v>0</v>
      </c>
      <c r="R110" s="277">
        <f t="shared" si="218"/>
        <v>0.91133333333333333</v>
      </c>
      <c r="S110" s="277">
        <f t="shared" si="219"/>
        <v>4.5471333333333335E-6</v>
      </c>
      <c r="T110" s="277">
        <f t="shared" si="220"/>
        <v>0.2986712138</v>
      </c>
      <c r="U110" s="277">
        <f t="shared" si="221"/>
        <v>-0.44600000000000001</v>
      </c>
      <c r="V110" s="272"/>
      <c r="W110" s="272" t="s">
        <v>861</v>
      </c>
      <c r="X110" s="277">
        <f t="shared" si="222"/>
        <v>0.2986712138</v>
      </c>
      <c r="Y110" s="277">
        <v>8.16</v>
      </c>
      <c r="Z110" s="277" t="s">
        <v>859</v>
      </c>
      <c r="AA110" s="282">
        <f>Y110/L110</f>
        <v>0.54400000000000004</v>
      </c>
      <c r="AB110" s="274">
        <f t="shared" si="223"/>
        <v>0</v>
      </c>
      <c r="AC110" s="295">
        <f t="shared" si="224"/>
        <v>4.4800682070000004</v>
      </c>
    </row>
    <row r="111" spans="2:29" ht="16.5" x14ac:dyDescent="0.35">
      <c r="B111" s="272" t="str">
        <f t="shared" si="214"/>
        <v>Loftsbeklædning_Gips på trælægter</v>
      </c>
      <c r="C111" s="276">
        <v>50</v>
      </c>
      <c r="D111" s="277">
        <v>-6.19</v>
      </c>
      <c r="E111" s="277">
        <v>3.88</v>
      </c>
      <c r="F111" s="277">
        <v>0</v>
      </c>
      <c r="G111" s="277">
        <v>17.57</v>
      </c>
      <c r="H111" s="277">
        <v>0.41</v>
      </c>
      <c r="I111" s="277">
        <f>D111+G111+H111</f>
        <v>11.79</v>
      </c>
      <c r="J111" s="277">
        <v>-8.9600000000000009</v>
      </c>
      <c r="K111" s="276" t="s">
        <v>270</v>
      </c>
      <c r="L111" s="277">
        <v>26</v>
      </c>
      <c r="M111" s="272"/>
      <c r="N111" s="272"/>
      <c r="O111" s="277">
        <f t="shared" si="215"/>
        <v>-0.2380769230769231</v>
      </c>
      <c r="P111" s="277">
        <f t="shared" si="216"/>
        <v>0.14923076923076922</v>
      </c>
      <c r="Q111" s="277">
        <f t="shared" si="217"/>
        <v>0</v>
      </c>
      <c r="R111" s="277">
        <f t="shared" si="218"/>
        <v>0.67576923076923079</v>
      </c>
      <c r="S111" s="277">
        <f t="shared" si="219"/>
        <v>1.5769230769230768E-2</v>
      </c>
      <c r="T111" s="277">
        <f t="shared" si="220"/>
        <v>0.45346153846153842</v>
      </c>
      <c r="U111" s="277">
        <f t="shared" si="221"/>
        <v>-0.34461538461538466</v>
      </c>
      <c r="V111" s="272"/>
      <c r="W111" s="272" t="s">
        <v>326</v>
      </c>
      <c r="X111" s="277">
        <f t="shared" si="222"/>
        <v>0.45346153846153842</v>
      </c>
      <c r="Y111" s="277">
        <v>10.99</v>
      </c>
      <c r="Z111" s="277" t="s">
        <v>859</v>
      </c>
      <c r="AA111" s="282">
        <f>Y111/L111</f>
        <v>0.4226923076923077</v>
      </c>
      <c r="AB111" s="274">
        <f t="shared" si="223"/>
        <v>0</v>
      </c>
      <c r="AC111" s="295">
        <f t="shared" si="224"/>
        <v>11.79</v>
      </c>
    </row>
    <row r="112" spans="2:29" x14ac:dyDescent="0.35">
      <c r="B112" s="272" t="str">
        <f t="shared" si="214"/>
        <v>Loftsbeklædning_Gips på stålprofiler</v>
      </c>
      <c r="C112" s="276">
        <v>50</v>
      </c>
      <c r="D112" s="277">
        <v>17.18</v>
      </c>
      <c r="E112" s="277">
        <v>13.16</v>
      </c>
      <c r="F112" s="277">
        <v>0</v>
      </c>
      <c r="G112" s="277">
        <v>0.04</v>
      </c>
      <c r="H112" s="277">
        <v>0.73</v>
      </c>
      <c r="I112" s="277">
        <f t="shared" ref="I112:I118" si="225">D112+G112+H112</f>
        <v>17.95</v>
      </c>
      <c r="J112" s="277">
        <v>-1.67</v>
      </c>
      <c r="K112" s="276" t="s">
        <v>270</v>
      </c>
      <c r="L112" s="277">
        <v>26</v>
      </c>
      <c r="M112" s="272"/>
      <c r="N112" s="272"/>
      <c r="O112" s="277">
        <f t="shared" si="215"/>
        <v>0.66076923076923078</v>
      </c>
      <c r="P112" s="277">
        <f t="shared" si="216"/>
        <v>0.50615384615384618</v>
      </c>
      <c r="Q112" s="277">
        <f t="shared" si="217"/>
        <v>0</v>
      </c>
      <c r="R112" s="277">
        <f t="shared" si="218"/>
        <v>1.5384615384615385E-3</v>
      </c>
      <c r="S112" s="277">
        <f t="shared" si="219"/>
        <v>2.8076923076923076E-2</v>
      </c>
      <c r="T112" s="277">
        <f t="shared" si="220"/>
        <v>0.69038461538461537</v>
      </c>
      <c r="U112" s="277">
        <f t="shared" si="221"/>
        <v>-6.423076923076923E-2</v>
      </c>
      <c r="V112" s="272"/>
      <c r="W112" s="272" t="s">
        <v>327</v>
      </c>
      <c r="X112" s="277">
        <f t="shared" si="222"/>
        <v>0.69038461538461537</v>
      </c>
      <c r="Y112" s="277"/>
      <c r="Z112" s="277"/>
      <c r="AA112" s="277"/>
      <c r="AB112" s="274">
        <f t="shared" si="223"/>
        <v>0</v>
      </c>
      <c r="AC112" s="295">
        <f t="shared" si="224"/>
        <v>17.95</v>
      </c>
    </row>
    <row r="113" spans="2:29" x14ac:dyDescent="0.35">
      <c r="B113" s="272" t="str">
        <f t="shared" si="214"/>
        <v>Loftsbeklædning_Akrylmaling på puds</v>
      </c>
      <c r="C113" s="276">
        <v>50</v>
      </c>
      <c r="D113" s="277">
        <v>5.65</v>
      </c>
      <c r="E113" s="277">
        <v>3.89</v>
      </c>
      <c r="F113" s="277">
        <v>0</v>
      </c>
      <c r="G113" s="277">
        <v>0</v>
      </c>
      <c r="H113" s="277">
        <v>0.15</v>
      </c>
      <c r="I113" s="277">
        <f t="shared" si="225"/>
        <v>5.8000000000000007</v>
      </c>
      <c r="J113" s="277">
        <v>-0.02</v>
      </c>
      <c r="K113" s="276" t="s">
        <v>270</v>
      </c>
      <c r="L113" s="277">
        <v>3</v>
      </c>
      <c r="M113" s="272"/>
      <c r="N113" s="272"/>
      <c r="O113" s="277">
        <f t="shared" si="215"/>
        <v>1.8833333333333335</v>
      </c>
      <c r="P113" s="277">
        <f t="shared" si="216"/>
        <v>1.2966666666666666</v>
      </c>
      <c r="Q113" s="277">
        <f t="shared" si="217"/>
        <v>0</v>
      </c>
      <c r="R113" s="277">
        <f t="shared" si="218"/>
        <v>0</v>
      </c>
      <c r="S113" s="277">
        <f t="shared" si="219"/>
        <v>4.9999999999999996E-2</v>
      </c>
      <c r="T113" s="277">
        <f t="shared" si="220"/>
        <v>1.9333333333333336</v>
      </c>
      <c r="U113" s="277">
        <f t="shared" si="221"/>
        <v>-6.6666666666666671E-3</v>
      </c>
      <c r="V113" s="272"/>
      <c r="W113" s="272" t="s">
        <v>328</v>
      </c>
      <c r="X113" s="277">
        <f t="shared" si="222"/>
        <v>1.9333333333333336</v>
      </c>
      <c r="Y113" s="277"/>
      <c r="Z113" s="277"/>
      <c r="AA113" s="277"/>
      <c r="AB113" s="274">
        <f t="shared" si="223"/>
        <v>0</v>
      </c>
      <c r="AC113" s="295">
        <f t="shared" si="224"/>
        <v>5.8000000000000007</v>
      </c>
    </row>
    <row r="114" spans="2:29" ht="16.5" x14ac:dyDescent="0.35">
      <c r="B114" s="272" t="str">
        <f t="shared" si="214"/>
        <v>Loftsbeklædning_Trælameller</v>
      </c>
      <c r="C114" s="276">
        <v>50</v>
      </c>
      <c r="D114" s="277">
        <v>-22.31</v>
      </c>
      <c r="E114" s="277">
        <v>0</v>
      </c>
      <c r="F114" s="277">
        <v>0</v>
      </c>
      <c r="G114" s="277">
        <v>31.54</v>
      </c>
      <c r="H114" s="277">
        <v>1.7979999999999999E-2</v>
      </c>
      <c r="I114" s="277">
        <f t="shared" si="225"/>
        <v>9.2479800000000001</v>
      </c>
      <c r="J114" s="277">
        <v>-8.9499999999999993</v>
      </c>
      <c r="K114" s="276" t="s">
        <v>270</v>
      </c>
      <c r="L114" s="277">
        <v>30</v>
      </c>
      <c r="M114" s="272"/>
      <c r="N114" s="272"/>
      <c r="O114" s="277">
        <f t="shared" si="215"/>
        <v>-0.74366666666666659</v>
      </c>
      <c r="P114" s="277">
        <f t="shared" si="216"/>
        <v>0</v>
      </c>
      <c r="Q114" s="277">
        <f t="shared" si="217"/>
        <v>0</v>
      </c>
      <c r="R114" s="277">
        <f t="shared" si="218"/>
        <v>1.0513333333333332</v>
      </c>
      <c r="S114" s="277">
        <f t="shared" si="219"/>
        <v>5.9933333333333334E-4</v>
      </c>
      <c r="T114" s="277">
        <f t="shared" si="220"/>
        <v>0.30826599999999998</v>
      </c>
      <c r="U114" s="277">
        <f t="shared" si="221"/>
        <v>-0.29833333333333328</v>
      </c>
      <c r="V114" s="272"/>
      <c r="W114" s="272" t="s">
        <v>304</v>
      </c>
      <c r="X114" s="277">
        <f t="shared" si="222"/>
        <v>0.30826599999999998</v>
      </c>
      <c r="Y114" s="277">
        <v>11.09</v>
      </c>
      <c r="Z114" s="277" t="s">
        <v>859</v>
      </c>
      <c r="AA114" s="282">
        <f>Y114/L114</f>
        <v>0.36966666666666664</v>
      </c>
      <c r="AB114" s="274">
        <f t="shared" si="223"/>
        <v>0</v>
      </c>
      <c r="AC114" s="295">
        <f t="shared" si="224"/>
        <v>9.2479800000000001</v>
      </c>
    </row>
    <row r="115" spans="2:29" x14ac:dyDescent="0.35">
      <c r="B115" s="272" t="str">
        <f t="shared" ref="B115" si="226">$B$105&amp;"_"&amp;W115</f>
        <v>Loftsbeklædning_Genbrugs loftbeklædning</v>
      </c>
      <c r="C115" s="276">
        <v>50</v>
      </c>
      <c r="D115" s="277">
        <v>0</v>
      </c>
      <c r="E115" s="277">
        <v>0</v>
      </c>
      <c r="F115" s="277">
        <v>0</v>
      </c>
      <c r="G115" s="277">
        <v>0</v>
      </c>
      <c r="H115" s="277">
        <v>0</v>
      </c>
      <c r="I115" s="277">
        <f t="shared" ref="I115" si="227">D115+G115+H115</f>
        <v>0</v>
      </c>
      <c r="J115" s="277">
        <v>0</v>
      </c>
      <c r="K115" s="276" t="s">
        <v>270</v>
      </c>
      <c r="L115" s="277">
        <v>1</v>
      </c>
      <c r="M115" s="272"/>
      <c r="N115" s="272"/>
      <c r="O115" s="277">
        <f t="shared" ref="O115" si="228">D115/L115</f>
        <v>0</v>
      </c>
      <c r="P115" s="277">
        <f t="shared" ref="P115" si="229">E115/L115</f>
        <v>0</v>
      </c>
      <c r="Q115" s="277">
        <f t="shared" ref="Q115" si="230">F115/L115</f>
        <v>0</v>
      </c>
      <c r="R115" s="277">
        <f t="shared" ref="R115" si="231">G115/L115</f>
        <v>0</v>
      </c>
      <c r="S115" s="277">
        <f t="shared" ref="S115" si="232">H115/L115</f>
        <v>0</v>
      </c>
      <c r="T115" s="277">
        <f t="shared" ref="T115" si="233">I115/L115</f>
        <v>0</v>
      </c>
      <c r="U115" s="277">
        <f t="shared" ref="U115" si="234">J115/L115</f>
        <v>0</v>
      </c>
      <c r="V115" s="272"/>
      <c r="W115" s="272" t="s">
        <v>1007</v>
      </c>
      <c r="X115" s="277">
        <f t="shared" ref="X115" si="235">T115</f>
        <v>0</v>
      </c>
      <c r="Y115" s="277"/>
      <c r="Z115" s="277"/>
      <c r="AA115" s="277"/>
      <c r="AB115" s="274">
        <f t="shared" ref="AB115" si="236">IF(C115&lt;$AB$75,1,0)+IF(C115*2&lt;$AB$75,1,0)+IF(C115*3&lt;$AB$75,1,0)</f>
        <v>0</v>
      </c>
      <c r="AC115" s="295"/>
    </row>
    <row r="116" spans="2:29" x14ac:dyDescent="0.35">
      <c r="B116" s="272" t="str">
        <f t="shared" si="214"/>
        <v>Loftsbeklædning_Brugerdefineret_1</v>
      </c>
      <c r="C116" s="652">
        <v>100</v>
      </c>
      <c r="D116" s="651">
        <v>0</v>
      </c>
      <c r="E116" s="651">
        <v>0</v>
      </c>
      <c r="F116" s="651">
        <v>0</v>
      </c>
      <c r="G116" s="651">
        <v>0</v>
      </c>
      <c r="H116" s="651">
        <v>0</v>
      </c>
      <c r="I116" s="651">
        <f t="shared" si="225"/>
        <v>0</v>
      </c>
      <c r="J116" s="651">
        <v>0</v>
      </c>
      <c r="K116" s="650" t="s">
        <v>288</v>
      </c>
      <c r="L116" s="650">
        <v>1</v>
      </c>
      <c r="M116" s="272"/>
      <c r="N116" s="272"/>
      <c r="O116" s="277">
        <f t="shared" si="215"/>
        <v>0</v>
      </c>
      <c r="P116" s="277">
        <f t="shared" si="216"/>
        <v>0</v>
      </c>
      <c r="Q116" s="277">
        <f t="shared" si="217"/>
        <v>0</v>
      </c>
      <c r="R116" s="277">
        <f t="shared" si="218"/>
        <v>0</v>
      </c>
      <c r="S116" s="277">
        <f t="shared" si="219"/>
        <v>0</v>
      </c>
      <c r="T116" s="277">
        <f t="shared" si="220"/>
        <v>0</v>
      </c>
      <c r="U116" s="277">
        <f t="shared" si="221"/>
        <v>0</v>
      </c>
      <c r="V116" s="272"/>
      <c r="W116" s="653" t="s">
        <v>280</v>
      </c>
      <c r="X116" s="277">
        <f t="shared" si="222"/>
        <v>0</v>
      </c>
      <c r="Y116" s="277"/>
      <c r="Z116" s="277"/>
      <c r="AA116" s="277"/>
      <c r="AB116" s="274">
        <f t="shared" si="223"/>
        <v>0</v>
      </c>
      <c r="AC116" s="295">
        <f t="shared" si="224"/>
        <v>0</v>
      </c>
    </row>
    <row r="117" spans="2:29" x14ac:dyDescent="0.35">
      <c r="B117" s="272" t="str">
        <f t="shared" si="214"/>
        <v>Loftsbeklædning_Brugerdefineret_2</v>
      </c>
      <c r="C117" s="652">
        <v>100</v>
      </c>
      <c r="D117" s="651">
        <v>0</v>
      </c>
      <c r="E117" s="651">
        <v>0</v>
      </c>
      <c r="F117" s="651">
        <v>0</v>
      </c>
      <c r="G117" s="651">
        <v>0</v>
      </c>
      <c r="H117" s="651">
        <v>0</v>
      </c>
      <c r="I117" s="651">
        <f t="shared" si="225"/>
        <v>0</v>
      </c>
      <c r="J117" s="651">
        <v>0</v>
      </c>
      <c r="K117" s="650" t="s">
        <v>288</v>
      </c>
      <c r="L117" s="650">
        <v>1</v>
      </c>
      <c r="M117" s="272"/>
      <c r="N117" s="272"/>
      <c r="O117" s="277">
        <f t="shared" si="215"/>
        <v>0</v>
      </c>
      <c r="P117" s="277">
        <f t="shared" si="216"/>
        <v>0</v>
      </c>
      <c r="Q117" s="277">
        <f t="shared" si="217"/>
        <v>0</v>
      </c>
      <c r="R117" s="277">
        <f t="shared" si="218"/>
        <v>0</v>
      </c>
      <c r="S117" s="277">
        <f t="shared" si="219"/>
        <v>0</v>
      </c>
      <c r="T117" s="277">
        <f t="shared" si="220"/>
        <v>0</v>
      </c>
      <c r="U117" s="277">
        <f t="shared" si="221"/>
        <v>0</v>
      </c>
      <c r="V117" s="272"/>
      <c r="W117" s="653" t="s">
        <v>281</v>
      </c>
      <c r="X117" s="277">
        <f t="shared" si="222"/>
        <v>0</v>
      </c>
      <c r="Y117" s="277"/>
      <c r="Z117" s="277"/>
      <c r="AA117" s="277"/>
      <c r="AB117" s="274">
        <f t="shared" si="223"/>
        <v>0</v>
      </c>
      <c r="AC117" s="295">
        <f t="shared" si="224"/>
        <v>0</v>
      </c>
    </row>
    <row r="118" spans="2:29" x14ac:dyDescent="0.35">
      <c r="B118" s="272" t="str">
        <f t="shared" si="214"/>
        <v>Loftsbeklædning_Brugerdefineret_3</v>
      </c>
      <c r="C118" s="652">
        <v>100</v>
      </c>
      <c r="D118" s="651">
        <v>0</v>
      </c>
      <c r="E118" s="651">
        <v>0</v>
      </c>
      <c r="F118" s="651">
        <v>0</v>
      </c>
      <c r="G118" s="651">
        <v>0</v>
      </c>
      <c r="H118" s="651">
        <v>0</v>
      </c>
      <c r="I118" s="651">
        <f t="shared" si="225"/>
        <v>0</v>
      </c>
      <c r="J118" s="651">
        <v>0</v>
      </c>
      <c r="K118" s="650" t="s">
        <v>288</v>
      </c>
      <c r="L118" s="650">
        <v>1</v>
      </c>
      <c r="M118" s="272"/>
      <c r="N118" s="272"/>
      <c r="O118" s="277">
        <f t="shared" si="215"/>
        <v>0</v>
      </c>
      <c r="P118" s="277">
        <f t="shared" si="216"/>
        <v>0</v>
      </c>
      <c r="Q118" s="277">
        <f t="shared" si="217"/>
        <v>0</v>
      </c>
      <c r="R118" s="277">
        <f t="shared" si="218"/>
        <v>0</v>
      </c>
      <c r="S118" s="277">
        <f t="shared" si="219"/>
        <v>0</v>
      </c>
      <c r="T118" s="277">
        <f t="shared" si="220"/>
        <v>0</v>
      </c>
      <c r="U118" s="277">
        <f t="shared" si="221"/>
        <v>0</v>
      </c>
      <c r="V118" s="272"/>
      <c r="W118" s="653" t="s">
        <v>282</v>
      </c>
      <c r="X118" s="277">
        <f t="shared" si="222"/>
        <v>0</v>
      </c>
      <c r="Y118" s="277"/>
      <c r="Z118" s="277"/>
      <c r="AA118" s="277"/>
      <c r="AB118" s="274">
        <f t="shared" si="223"/>
        <v>0</v>
      </c>
      <c r="AC118" s="295">
        <f t="shared" si="224"/>
        <v>0</v>
      </c>
    </row>
    <row r="119" spans="2:29" ht="23.5" x14ac:dyDescent="0.55000000000000004">
      <c r="B119" s="281" t="s">
        <v>36</v>
      </c>
      <c r="C119" s="276"/>
      <c r="D119" s="272"/>
      <c r="E119" s="272"/>
      <c r="F119" s="272"/>
      <c r="G119" s="272"/>
      <c r="H119" s="272"/>
      <c r="I119" s="277"/>
      <c r="J119" s="272"/>
      <c r="K119" s="272"/>
      <c r="L119" s="272"/>
      <c r="M119" s="272"/>
      <c r="N119" s="272"/>
      <c r="O119" s="272"/>
      <c r="P119" s="272"/>
      <c r="Q119" s="272"/>
      <c r="R119" s="272"/>
      <c r="S119" s="272"/>
      <c r="T119" s="272"/>
      <c r="U119" s="272"/>
      <c r="V119" s="272"/>
      <c r="W119" s="274" t="s">
        <v>302</v>
      </c>
      <c r="X119" s="275">
        <f t="shared" ref="X119" si="237">T119</f>
        <v>0</v>
      </c>
      <c r="Y119" s="277"/>
      <c r="Z119" s="272"/>
      <c r="AA119" s="277"/>
      <c r="AB119" s="274"/>
      <c r="AC119" s="295"/>
    </row>
    <row r="120" spans="2:29" x14ac:dyDescent="0.35">
      <c r="B120" s="271"/>
      <c r="C120" s="268">
        <v>200</v>
      </c>
      <c r="D120" s="272"/>
      <c r="E120" s="272"/>
      <c r="F120" s="272"/>
      <c r="G120" s="272"/>
      <c r="H120" s="272"/>
      <c r="I120" s="277"/>
      <c r="J120" s="272"/>
      <c r="K120" s="272"/>
      <c r="L120" s="272"/>
      <c r="M120" s="284" t="s">
        <v>994</v>
      </c>
      <c r="N120" s="272"/>
      <c r="O120" s="272"/>
      <c r="P120" s="272"/>
      <c r="Q120" s="272"/>
      <c r="R120" s="272"/>
      <c r="S120" s="272"/>
      <c r="T120" s="272"/>
      <c r="U120" s="272"/>
      <c r="V120" s="272"/>
      <c r="W120" s="274" t="s">
        <v>103</v>
      </c>
      <c r="X120" s="275"/>
      <c r="Y120" s="277"/>
      <c r="Z120" s="272"/>
      <c r="AA120" s="277"/>
      <c r="AB120" s="274"/>
      <c r="AC120" s="295"/>
    </row>
    <row r="121" spans="2:29" x14ac:dyDescent="0.35">
      <c r="B121" s="272" t="str">
        <f t="shared" ref="B121:B128" si="238">$B$119&amp;"_"&amp;W121</f>
        <v>Terrændæk_Beton C25/30</v>
      </c>
      <c r="C121" s="276">
        <v>100</v>
      </c>
      <c r="D121" s="277">
        <v>41.2751625</v>
      </c>
      <c r="E121" s="277">
        <v>0</v>
      </c>
      <c r="F121" s="277">
        <v>0</v>
      </c>
      <c r="G121" s="277">
        <v>1.0095000000000001</v>
      </c>
      <c r="H121" s="277">
        <v>0.75061552499999995</v>
      </c>
      <c r="I121" s="277">
        <f t="shared" ref="I121:I128" si="239">D121+G121+H121</f>
        <v>43.035278025000004</v>
      </c>
      <c r="J121" s="277">
        <v>-3.6375000000000002</v>
      </c>
      <c r="K121" s="276" t="s">
        <v>270</v>
      </c>
      <c r="L121" s="284">
        <v>150</v>
      </c>
      <c r="M121" s="284">
        <v>300</v>
      </c>
      <c r="N121" s="272"/>
      <c r="O121" s="277">
        <f t="shared" ref="O121:O128" si="240">D121/L121</f>
        <v>0.27516774999999999</v>
      </c>
      <c r="P121" s="277">
        <f t="shared" ref="P121:P128" si="241">E121/L121</f>
        <v>0</v>
      </c>
      <c r="Q121" s="277">
        <f t="shared" ref="Q121:Q128" si="242">F121/L121</f>
        <v>0</v>
      </c>
      <c r="R121" s="277">
        <f t="shared" ref="R121:R128" si="243">G121/L121</f>
        <v>6.7300000000000007E-3</v>
      </c>
      <c r="S121" s="277">
        <f t="shared" ref="S121:S128" si="244">H121/L121</f>
        <v>5.0041034999999999E-3</v>
      </c>
      <c r="T121" s="277">
        <f t="shared" ref="T121:T128" si="245">I121/L121</f>
        <v>0.28690185350000003</v>
      </c>
      <c r="U121" s="277">
        <f t="shared" ref="U121:U128" si="246">J121/L121</f>
        <v>-2.4250000000000001E-2</v>
      </c>
      <c r="V121" s="272"/>
      <c r="W121" s="272" t="s">
        <v>329</v>
      </c>
      <c r="X121" s="277">
        <f t="shared" ref="X121:X128" si="247">T121</f>
        <v>0.28690185350000003</v>
      </c>
      <c r="Y121" s="277"/>
      <c r="Z121" s="272"/>
      <c r="AA121" s="277"/>
      <c r="AB121" s="274"/>
      <c r="AC121" s="540">
        <f>I121</f>
        <v>43.035278025000004</v>
      </c>
    </row>
    <row r="122" spans="2:29" x14ac:dyDescent="0.35">
      <c r="B122" s="272" t="str">
        <f t="shared" si="238"/>
        <v>Terrændæk_Gulvspånplade</v>
      </c>
      <c r="C122" s="276">
        <v>100</v>
      </c>
      <c r="D122" s="277">
        <v>-19.219068</v>
      </c>
      <c r="E122" s="277">
        <v>0</v>
      </c>
      <c r="F122" s="277">
        <v>0</v>
      </c>
      <c r="G122" s="277">
        <v>27.90634</v>
      </c>
      <c r="H122" s="277">
        <v>3.4103500000000003E-5</v>
      </c>
      <c r="I122" s="277">
        <f t="shared" si="239"/>
        <v>8.687306103500001</v>
      </c>
      <c r="J122" s="277">
        <v>-6.4554379999999995E-2</v>
      </c>
      <c r="K122" s="276" t="s">
        <v>270</v>
      </c>
      <c r="L122" s="284">
        <v>22</v>
      </c>
      <c r="M122" s="284">
        <v>400</v>
      </c>
      <c r="N122" s="272"/>
      <c r="O122" s="277">
        <f t="shared" si="240"/>
        <v>-0.87359399999999998</v>
      </c>
      <c r="P122" s="277">
        <f t="shared" si="241"/>
        <v>0</v>
      </c>
      <c r="Q122" s="277">
        <f t="shared" si="242"/>
        <v>0</v>
      </c>
      <c r="R122" s="277">
        <f t="shared" si="243"/>
        <v>1.26847</v>
      </c>
      <c r="S122" s="277">
        <f t="shared" si="244"/>
        <v>1.5501590909090911E-6</v>
      </c>
      <c r="T122" s="277">
        <f t="shared" si="245"/>
        <v>0.39487755015909093</v>
      </c>
      <c r="U122" s="277">
        <f t="shared" si="246"/>
        <v>-2.9342899999999996E-3</v>
      </c>
      <c r="V122" s="272"/>
      <c r="W122" s="272" t="s">
        <v>330</v>
      </c>
      <c r="X122" s="277">
        <f t="shared" si="247"/>
        <v>0.39487755015909093</v>
      </c>
      <c r="Y122" s="277">
        <v>15.4</v>
      </c>
      <c r="Z122" s="272"/>
      <c r="AA122" s="282">
        <f>Y122/L122</f>
        <v>0.70000000000000007</v>
      </c>
      <c r="AB122" s="274"/>
      <c r="AC122" s="540">
        <f t="shared" ref="AC122:AC128" si="248">I122</f>
        <v>8.687306103500001</v>
      </c>
    </row>
    <row r="123" spans="2:29" x14ac:dyDescent="0.35">
      <c r="B123" s="272" t="str">
        <f t="shared" si="238"/>
        <v>Terrændæk_Stålkassette</v>
      </c>
      <c r="C123" s="276">
        <v>100</v>
      </c>
      <c r="D123" s="277">
        <v>29.932667142857099</v>
      </c>
      <c r="E123" s="277">
        <v>0</v>
      </c>
      <c r="F123" s="277">
        <v>0</v>
      </c>
      <c r="G123" s="277">
        <v>24.52455544</v>
      </c>
      <c r="H123" s="277">
        <v>0.38107200000000002</v>
      </c>
      <c r="I123" s="277">
        <f t="shared" si="239"/>
        <v>54.838294582857102</v>
      </c>
      <c r="J123" s="277">
        <v>-11.2890283257143</v>
      </c>
      <c r="K123" s="276" t="s">
        <v>270</v>
      </c>
      <c r="L123" s="284">
        <v>250</v>
      </c>
      <c r="M123" s="284">
        <v>250</v>
      </c>
      <c r="N123" s="272"/>
      <c r="O123" s="277">
        <f t="shared" si="240"/>
        <v>0.11973066857142839</v>
      </c>
      <c r="P123" s="277">
        <f t="shared" si="241"/>
        <v>0</v>
      </c>
      <c r="Q123" s="277">
        <f t="shared" si="242"/>
        <v>0</v>
      </c>
      <c r="R123" s="277">
        <f t="shared" si="243"/>
        <v>9.8098221760000007E-2</v>
      </c>
      <c r="S123" s="277">
        <f t="shared" si="244"/>
        <v>1.5242880000000002E-3</v>
      </c>
      <c r="T123" s="277">
        <f t="shared" si="245"/>
        <v>0.21935317833142842</v>
      </c>
      <c r="U123" s="277">
        <f t="shared" si="246"/>
        <v>-4.5156113302857202E-2</v>
      </c>
      <c r="V123" s="272"/>
      <c r="W123" s="272" t="s">
        <v>843</v>
      </c>
      <c r="X123" s="277">
        <f t="shared" si="247"/>
        <v>0.21935317833142842</v>
      </c>
      <c r="Y123" s="277">
        <v>13.2</v>
      </c>
      <c r="Z123" s="272"/>
      <c r="AA123" s="282">
        <f>Y123/L123</f>
        <v>5.28E-2</v>
      </c>
      <c r="AB123" s="274"/>
      <c r="AC123" s="540">
        <f t="shared" si="248"/>
        <v>54.838294582857102</v>
      </c>
    </row>
    <row r="124" spans="2:29" x14ac:dyDescent="0.35">
      <c r="B124" s="272" t="str">
        <f t="shared" si="238"/>
        <v>Terrændæk_Trækassette</v>
      </c>
      <c r="C124" s="276">
        <v>100</v>
      </c>
      <c r="D124" s="277">
        <v>-37.291082857142797</v>
      </c>
      <c r="E124" s="277">
        <v>0</v>
      </c>
      <c r="F124" s="277">
        <v>0</v>
      </c>
      <c r="G124" s="277">
        <v>64.515670999999998</v>
      </c>
      <c r="H124" s="277">
        <v>0.38107200000000002</v>
      </c>
      <c r="I124" s="277">
        <f t="shared" si="239"/>
        <v>27.6056601428572</v>
      </c>
      <c r="J124" s="277">
        <v>-20.734794325714301</v>
      </c>
      <c r="K124" s="276" t="s">
        <v>270</v>
      </c>
      <c r="L124" s="284">
        <v>375</v>
      </c>
      <c r="M124" s="284">
        <v>375</v>
      </c>
      <c r="N124" s="272"/>
      <c r="O124" s="277">
        <f t="shared" si="240"/>
        <v>-9.944288761904746E-2</v>
      </c>
      <c r="P124" s="277">
        <f t="shared" si="241"/>
        <v>0</v>
      </c>
      <c r="Q124" s="277">
        <f t="shared" si="242"/>
        <v>0</v>
      </c>
      <c r="R124" s="277">
        <f t="shared" si="243"/>
        <v>0.17204178933333333</v>
      </c>
      <c r="S124" s="277">
        <f t="shared" si="244"/>
        <v>1.016192E-3</v>
      </c>
      <c r="T124" s="277">
        <f t="shared" si="245"/>
        <v>7.3615093714285873E-2</v>
      </c>
      <c r="U124" s="277">
        <f t="shared" si="246"/>
        <v>-5.5292784868571469E-2</v>
      </c>
      <c r="V124" s="272"/>
      <c r="W124" s="272" t="s">
        <v>844</v>
      </c>
      <c r="X124" s="277">
        <f t="shared" si="247"/>
        <v>7.3615093714285873E-2</v>
      </c>
      <c r="Y124" s="277">
        <v>38.28</v>
      </c>
      <c r="Z124" s="272"/>
      <c r="AA124" s="282">
        <f>Y124/L124</f>
        <v>0.10208</v>
      </c>
      <c r="AB124" s="274"/>
      <c r="AC124" s="540">
        <f t="shared" si="248"/>
        <v>27.6056601428572</v>
      </c>
    </row>
    <row r="125" spans="2:29" x14ac:dyDescent="0.35">
      <c r="B125" s="272" t="str">
        <f t="shared" si="238"/>
        <v>Terrændæk_Genbrugs terrændæk</v>
      </c>
      <c r="C125" s="276">
        <v>100</v>
      </c>
      <c r="D125" s="277">
        <v>0</v>
      </c>
      <c r="E125" s="277">
        <v>0</v>
      </c>
      <c r="F125" s="277">
        <v>0</v>
      </c>
      <c r="G125" s="277">
        <v>0</v>
      </c>
      <c r="H125" s="277">
        <v>0</v>
      </c>
      <c r="I125" s="277">
        <f t="shared" si="239"/>
        <v>0</v>
      </c>
      <c r="J125" s="277">
        <v>0</v>
      </c>
      <c r="K125" s="276" t="s">
        <v>270</v>
      </c>
      <c r="L125" s="284">
        <v>1</v>
      </c>
      <c r="M125" s="652">
        <v>300</v>
      </c>
      <c r="N125" s="272"/>
      <c r="O125" s="277">
        <f t="shared" si="240"/>
        <v>0</v>
      </c>
      <c r="P125" s="277">
        <f t="shared" si="241"/>
        <v>0</v>
      </c>
      <c r="Q125" s="277">
        <f t="shared" si="242"/>
        <v>0</v>
      </c>
      <c r="R125" s="277">
        <f t="shared" si="243"/>
        <v>0</v>
      </c>
      <c r="S125" s="277">
        <f t="shared" si="244"/>
        <v>0</v>
      </c>
      <c r="T125" s="277">
        <f t="shared" si="245"/>
        <v>0</v>
      </c>
      <c r="U125" s="277">
        <f t="shared" si="246"/>
        <v>0</v>
      </c>
      <c r="V125" s="272"/>
      <c r="W125" s="272" t="s">
        <v>1008</v>
      </c>
      <c r="X125" s="277">
        <f t="shared" si="247"/>
        <v>0</v>
      </c>
      <c r="Y125" s="277"/>
      <c r="Z125" s="272"/>
      <c r="AA125" s="282"/>
      <c r="AB125" s="274"/>
      <c r="AC125" s="540"/>
    </row>
    <row r="126" spans="2:29" x14ac:dyDescent="0.35">
      <c r="B126" s="272" t="str">
        <f t="shared" si="238"/>
        <v>Terrændæk_Brugerdefineret_1</v>
      </c>
      <c r="C126" s="652">
        <v>100</v>
      </c>
      <c r="D126" s="651">
        <v>0</v>
      </c>
      <c r="E126" s="651">
        <v>0</v>
      </c>
      <c r="F126" s="651">
        <v>0</v>
      </c>
      <c r="G126" s="651">
        <v>0</v>
      </c>
      <c r="H126" s="651">
        <v>0</v>
      </c>
      <c r="I126" s="651">
        <f t="shared" si="239"/>
        <v>0</v>
      </c>
      <c r="J126" s="651">
        <v>0</v>
      </c>
      <c r="K126" s="650" t="s">
        <v>288</v>
      </c>
      <c r="L126" s="650">
        <v>1</v>
      </c>
      <c r="M126" s="650">
        <v>300</v>
      </c>
      <c r="N126" s="272"/>
      <c r="O126" s="277">
        <f t="shared" si="240"/>
        <v>0</v>
      </c>
      <c r="P126" s="277">
        <f t="shared" si="241"/>
        <v>0</v>
      </c>
      <c r="Q126" s="277">
        <f t="shared" si="242"/>
        <v>0</v>
      </c>
      <c r="R126" s="277">
        <f t="shared" si="243"/>
        <v>0</v>
      </c>
      <c r="S126" s="277">
        <f t="shared" si="244"/>
        <v>0</v>
      </c>
      <c r="T126" s="277">
        <f t="shared" si="245"/>
        <v>0</v>
      </c>
      <c r="U126" s="277">
        <f t="shared" si="246"/>
        <v>0</v>
      </c>
      <c r="V126" s="272"/>
      <c r="W126" s="653" t="s">
        <v>280</v>
      </c>
      <c r="X126" s="277">
        <f t="shared" si="247"/>
        <v>0</v>
      </c>
      <c r="Y126" s="277"/>
      <c r="Z126" s="272"/>
      <c r="AA126" s="282">
        <f>Y126/L126</f>
        <v>0</v>
      </c>
      <c r="AB126" s="274"/>
      <c r="AC126" s="540">
        <f t="shared" si="248"/>
        <v>0</v>
      </c>
    </row>
    <row r="127" spans="2:29" x14ac:dyDescent="0.35">
      <c r="B127" s="272" t="str">
        <f t="shared" si="238"/>
        <v>Terrændæk_Brugerdefineret_2</v>
      </c>
      <c r="C127" s="652">
        <v>100</v>
      </c>
      <c r="D127" s="651">
        <v>0</v>
      </c>
      <c r="E127" s="651">
        <v>0</v>
      </c>
      <c r="F127" s="651">
        <v>0</v>
      </c>
      <c r="G127" s="651">
        <v>0</v>
      </c>
      <c r="H127" s="651">
        <v>0</v>
      </c>
      <c r="I127" s="651">
        <f t="shared" si="239"/>
        <v>0</v>
      </c>
      <c r="J127" s="651">
        <v>0</v>
      </c>
      <c r="K127" s="650" t="s">
        <v>288</v>
      </c>
      <c r="L127" s="650">
        <v>1</v>
      </c>
      <c r="M127" s="650">
        <v>300</v>
      </c>
      <c r="N127" s="272"/>
      <c r="O127" s="277">
        <f t="shared" si="240"/>
        <v>0</v>
      </c>
      <c r="P127" s="277">
        <f t="shared" si="241"/>
        <v>0</v>
      </c>
      <c r="Q127" s="277">
        <f t="shared" si="242"/>
        <v>0</v>
      </c>
      <c r="R127" s="277">
        <f t="shared" si="243"/>
        <v>0</v>
      </c>
      <c r="S127" s="277">
        <f t="shared" si="244"/>
        <v>0</v>
      </c>
      <c r="T127" s="277">
        <f t="shared" si="245"/>
        <v>0</v>
      </c>
      <c r="U127" s="277">
        <f t="shared" si="246"/>
        <v>0</v>
      </c>
      <c r="V127" s="272"/>
      <c r="W127" s="653" t="s">
        <v>281</v>
      </c>
      <c r="X127" s="277">
        <f t="shared" si="247"/>
        <v>0</v>
      </c>
      <c r="Y127" s="277"/>
      <c r="Z127" s="272"/>
      <c r="AA127" s="282">
        <f>Y127/L127</f>
        <v>0</v>
      </c>
      <c r="AB127" s="274"/>
      <c r="AC127" s="540">
        <f t="shared" si="248"/>
        <v>0</v>
      </c>
    </row>
    <row r="128" spans="2:29" x14ac:dyDescent="0.35">
      <c r="B128" s="272" t="str">
        <f t="shared" si="238"/>
        <v>Terrændæk_Brugerdefineret_3</v>
      </c>
      <c r="C128" s="652">
        <v>100</v>
      </c>
      <c r="D128" s="651">
        <v>0</v>
      </c>
      <c r="E128" s="651">
        <v>0</v>
      </c>
      <c r="F128" s="651">
        <v>0</v>
      </c>
      <c r="G128" s="651">
        <v>0</v>
      </c>
      <c r="H128" s="651">
        <v>0</v>
      </c>
      <c r="I128" s="651">
        <f t="shared" si="239"/>
        <v>0</v>
      </c>
      <c r="J128" s="651">
        <v>0</v>
      </c>
      <c r="K128" s="650" t="s">
        <v>288</v>
      </c>
      <c r="L128" s="650">
        <v>1</v>
      </c>
      <c r="M128" s="650">
        <v>300</v>
      </c>
      <c r="N128" s="272"/>
      <c r="O128" s="277">
        <f t="shared" si="240"/>
        <v>0</v>
      </c>
      <c r="P128" s="277">
        <f t="shared" si="241"/>
        <v>0</v>
      </c>
      <c r="Q128" s="277">
        <f t="shared" si="242"/>
        <v>0</v>
      </c>
      <c r="R128" s="277">
        <f t="shared" si="243"/>
        <v>0</v>
      </c>
      <c r="S128" s="277">
        <f t="shared" si="244"/>
        <v>0</v>
      </c>
      <c r="T128" s="277">
        <f t="shared" si="245"/>
        <v>0</v>
      </c>
      <c r="U128" s="277">
        <f t="shared" si="246"/>
        <v>0</v>
      </c>
      <c r="V128" s="272"/>
      <c r="W128" s="653" t="s">
        <v>282</v>
      </c>
      <c r="X128" s="277">
        <f t="shared" si="247"/>
        <v>0</v>
      </c>
      <c r="Y128" s="277"/>
      <c r="Z128" s="272"/>
      <c r="AA128" s="282">
        <f>Y128/L128</f>
        <v>0</v>
      </c>
      <c r="AB128" s="274"/>
      <c r="AC128" s="540">
        <f t="shared" si="248"/>
        <v>0</v>
      </c>
    </row>
    <row r="129" spans="2:29" ht="23.5" x14ac:dyDescent="0.55000000000000004">
      <c r="B129" s="281" t="s">
        <v>331</v>
      </c>
      <c r="C129" s="284"/>
      <c r="D129" s="277"/>
      <c r="E129" s="277"/>
      <c r="F129" s="277"/>
      <c r="G129" s="277"/>
      <c r="H129" s="277"/>
      <c r="I129" s="277"/>
      <c r="J129" s="277"/>
      <c r="K129" s="276"/>
      <c r="L129" s="272"/>
      <c r="M129" s="272"/>
      <c r="N129" s="272"/>
      <c r="O129" s="277"/>
      <c r="P129" s="277"/>
      <c r="Q129" s="277"/>
      <c r="R129" s="277"/>
      <c r="S129" s="277"/>
      <c r="T129" s="277">
        <v>1</v>
      </c>
      <c r="U129" s="277"/>
      <c r="V129" s="272"/>
      <c r="W129" s="274" t="s">
        <v>302</v>
      </c>
      <c r="X129" s="275"/>
      <c r="Y129" s="277"/>
      <c r="Z129" s="272"/>
      <c r="AA129" s="277"/>
      <c r="AB129" s="274"/>
      <c r="AC129" s="295"/>
    </row>
    <row r="130" spans="2:29" x14ac:dyDescent="0.35">
      <c r="B130" s="271"/>
      <c r="C130" s="268">
        <v>200</v>
      </c>
      <c r="D130" s="277"/>
      <c r="E130" s="277"/>
      <c r="F130" s="277"/>
      <c r="G130" s="277"/>
      <c r="H130" s="277"/>
      <c r="I130" s="277"/>
      <c r="J130" s="277"/>
      <c r="K130" s="276"/>
      <c r="L130" s="272"/>
      <c r="M130" s="272"/>
      <c r="N130" s="272"/>
      <c r="O130" s="277"/>
      <c r="P130" s="277"/>
      <c r="Q130" s="277"/>
      <c r="R130" s="277"/>
      <c r="S130" s="277"/>
      <c r="T130" s="277"/>
      <c r="U130" s="277"/>
      <c r="V130" s="272"/>
      <c r="W130" s="274" t="s">
        <v>103</v>
      </c>
      <c r="X130" s="275"/>
      <c r="Y130" s="277"/>
      <c r="Z130" s="272"/>
      <c r="AA130" s="277"/>
      <c r="AB130" s="274"/>
      <c r="AC130" s="295"/>
    </row>
    <row r="131" spans="2:29" x14ac:dyDescent="0.35">
      <c r="B131" s="272" t="str">
        <f t="shared" ref="B131:B137" si="249">$B$129&amp;"_"&amp;W131</f>
        <v>Kapillarbrydende lag_Letklinker</v>
      </c>
      <c r="C131" s="276">
        <v>100</v>
      </c>
      <c r="D131" s="277">
        <v>28.8</v>
      </c>
      <c r="E131" s="277">
        <v>0</v>
      </c>
      <c r="F131" s="277">
        <v>0</v>
      </c>
      <c r="G131" s="277">
        <v>0.2397</v>
      </c>
      <c r="H131" s="277">
        <v>0</v>
      </c>
      <c r="I131" s="277">
        <f t="shared" ref="I131:I137" si="250">D131+G131+H131</f>
        <v>29.0397</v>
      </c>
      <c r="J131" s="277">
        <v>0</v>
      </c>
      <c r="K131" s="276" t="s">
        <v>270</v>
      </c>
      <c r="L131" s="284">
        <v>150</v>
      </c>
      <c r="M131" s="272"/>
      <c r="N131" s="272"/>
      <c r="O131" s="277">
        <f t="shared" ref="O131:O137" si="251">D131/L131</f>
        <v>0.192</v>
      </c>
      <c r="P131" s="277">
        <f t="shared" ref="P131:P137" si="252">E131/L131</f>
        <v>0</v>
      </c>
      <c r="Q131" s="277">
        <f t="shared" ref="Q131:Q137" si="253">F131/L131</f>
        <v>0</v>
      </c>
      <c r="R131" s="277">
        <f t="shared" ref="R131:R137" si="254">G131/L131</f>
        <v>1.598E-3</v>
      </c>
      <c r="S131" s="277">
        <f t="shared" ref="S131:S137" si="255">H131/L131</f>
        <v>0</v>
      </c>
      <c r="T131" s="277">
        <f t="shared" ref="T131:T137" si="256">I131/L131</f>
        <v>0.19359799999999999</v>
      </c>
      <c r="U131" s="277">
        <f t="shared" ref="U131:U137" si="257">J131/L131</f>
        <v>0</v>
      </c>
      <c r="V131" s="272"/>
      <c r="W131" s="272" t="s">
        <v>862</v>
      </c>
      <c r="X131" s="277">
        <f t="shared" ref="X131:X137" si="258">T131</f>
        <v>0.19359799999999999</v>
      </c>
      <c r="Y131" s="277"/>
      <c r="Z131" s="277"/>
      <c r="AA131" s="277"/>
      <c r="AB131" s="274"/>
      <c r="AC131" s="295"/>
    </row>
    <row r="132" spans="2:29" x14ac:dyDescent="0.35">
      <c r="B132" s="272" t="str">
        <f t="shared" si="249"/>
        <v xml:space="preserve">Kapillarbrydende lag_Sand </v>
      </c>
      <c r="C132" s="276">
        <v>100</v>
      </c>
      <c r="D132" s="277">
        <v>0.6421</v>
      </c>
      <c r="E132" s="277">
        <v>0</v>
      </c>
      <c r="F132" s="277">
        <v>0</v>
      </c>
      <c r="G132" s="277">
        <v>1.512</v>
      </c>
      <c r="H132" s="277">
        <v>0</v>
      </c>
      <c r="I132" s="277">
        <f t="shared" si="250"/>
        <v>2.1541000000000001</v>
      </c>
      <c r="J132" s="277">
        <v>-0.46210000000000001</v>
      </c>
      <c r="K132" s="276" t="s">
        <v>270</v>
      </c>
      <c r="L132" s="284">
        <v>150</v>
      </c>
      <c r="M132" s="272"/>
      <c r="N132" s="272"/>
      <c r="O132" s="277">
        <f t="shared" si="251"/>
        <v>4.280666666666667E-3</v>
      </c>
      <c r="P132" s="277">
        <f t="shared" si="252"/>
        <v>0</v>
      </c>
      <c r="Q132" s="277">
        <f t="shared" si="253"/>
        <v>0</v>
      </c>
      <c r="R132" s="277">
        <f t="shared" si="254"/>
        <v>1.008E-2</v>
      </c>
      <c r="S132" s="277">
        <f t="shared" si="255"/>
        <v>0</v>
      </c>
      <c r="T132" s="277">
        <f t="shared" si="256"/>
        <v>1.4360666666666667E-2</v>
      </c>
      <c r="U132" s="277">
        <f t="shared" si="257"/>
        <v>-3.0806666666666669E-3</v>
      </c>
      <c r="V132" s="272"/>
      <c r="W132" s="272" t="s">
        <v>333</v>
      </c>
      <c r="X132" s="277">
        <f t="shared" si="258"/>
        <v>1.4360666666666667E-2</v>
      </c>
      <c r="Y132" s="277"/>
      <c r="Z132" s="277"/>
      <c r="AA132" s="277"/>
      <c r="AB132" s="274"/>
      <c r="AC132" s="295"/>
    </row>
    <row r="133" spans="2:29" x14ac:dyDescent="0.35">
      <c r="B133" s="272" t="str">
        <f t="shared" si="249"/>
        <v>Kapillarbrydende lag_Grus</v>
      </c>
      <c r="C133" s="276">
        <v>100</v>
      </c>
      <c r="D133" s="277">
        <v>0.73629999999999995</v>
      </c>
      <c r="E133" s="277">
        <v>0</v>
      </c>
      <c r="F133" s="277">
        <v>0</v>
      </c>
      <c r="G133" s="277">
        <v>1.7350000000000001</v>
      </c>
      <c r="H133" s="277">
        <v>0</v>
      </c>
      <c r="I133" s="277">
        <f t="shared" si="250"/>
        <v>2.4713000000000003</v>
      </c>
      <c r="J133" s="277">
        <v>-0.52990000000000004</v>
      </c>
      <c r="K133" s="276" t="s">
        <v>270</v>
      </c>
      <c r="L133" s="284">
        <v>150</v>
      </c>
      <c r="M133" s="272"/>
      <c r="N133" s="272"/>
      <c r="O133" s="277">
        <f t="shared" si="251"/>
        <v>4.9086666666666662E-3</v>
      </c>
      <c r="P133" s="277">
        <f t="shared" si="252"/>
        <v>0</v>
      </c>
      <c r="Q133" s="277">
        <f t="shared" si="253"/>
        <v>0</v>
      </c>
      <c r="R133" s="277">
        <f t="shared" si="254"/>
        <v>1.1566666666666668E-2</v>
      </c>
      <c r="S133" s="277">
        <f t="shared" si="255"/>
        <v>0</v>
      </c>
      <c r="T133" s="277">
        <f t="shared" si="256"/>
        <v>1.6475333333333335E-2</v>
      </c>
      <c r="U133" s="277">
        <f t="shared" si="257"/>
        <v>-3.532666666666667E-3</v>
      </c>
      <c r="V133" s="272"/>
      <c r="W133" s="272" t="s">
        <v>334</v>
      </c>
      <c r="X133" s="277">
        <f t="shared" si="258"/>
        <v>1.6475333333333335E-2</v>
      </c>
      <c r="Y133" s="277"/>
      <c r="Z133" s="277"/>
      <c r="AA133" s="277"/>
      <c r="AB133" s="274"/>
      <c r="AC133" s="295"/>
    </row>
    <row r="134" spans="2:29" x14ac:dyDescent="0.35">
      <c r="B134" s="272" t="str">
        <f t="shared" si="249"/>
        <v>Kapillarbrydende lag_Genbrugs kapillarbrydende lag</v>
      </c>
      <c r="C134" s="276">
        <v>100</v>
      </c>
      <c r="D134" s="277">
        <v>0</v>
      </c>
      <c r="E134" s="277">
        <v>0</v>
      </c>
      <c r="F134" s="277">
        <v>0</v>
      </c>
      <c r="G134" s="277">
        <v>0</v>
      </c>
      <c r="H134" s="277">
        <v>0</v>
      </c>
      <c r="I134" s="277">
        <f t="shared" si="250"/>
        <v>0</v>
      </c>
      <c r="J134" s="277">
        <v>0</v>
      </c>
      <c r="K134" s="276" t="s">
        <v>270</v>
      </c>
      <c r="L134" s="284">
        <v>1</v>
      </c>
      <c r="M134" s="272"/>
      <c r="N134" s="272"/>
      <c r="O134" s="277">
        <f t="shared" si="251"/>
        <v>0</v>
      </c>
      <c r="P134" s="277">
        <f t="shared" si="252"/>
        <v>0</v>
      </c>
      <c r="Q134" s="277">
        <f t="shared" si="253"/>
        <v>0</v>
      </c>
      <c r="R134" s="277">
        <f t="shared" si="254"/>
        <v>0</v>
      </c>
      <c r="S134" s="277">
        <f t="shared" si="255"/>
        <v>0</v>
      </c>
      <c r="T134" s="277">
        <f t="shared" si="256"/>
        <v>0</v>
      </c>
      <c r="U134" s="277">
        <f t="shared" si="257"/>
        <v>0</v>
      </c>
      <c r="V134" s="272"/>
      <c r="W134" s="272" t="s">
        <v>1009</v>
      </c>
      <c r="X134" s="277">
        <f t="shared" ref="X134" si="259">T134</f>
        <v>0</v>
      </c>
      <c r="Y134" s="277"/>
      <c r="Z134" s="277"/>
      <c r="AA134" s="277"/>
      <c r="AB134" s="274"/>
      <c r="AC134" s="295"/>
    </row>
    <row r="135" spans="2:29" x14ac:dyDescent="0.35">
      <c r="B135" s="272" t="str">
        <f t="shared" si="249"/>
        <v>Kapillarbrydende lag_Brugerdefineret_1</v>
      </c>
      <c r="C135" s="652">
        <v>100</v>
      </c>
      <c r="D135" s="651">
        <v>0</v>
      </c>
      <c r="E135" s="651">
        <v>0</v>
      </c>
      <c r="F135" s="651">
        <v>0</v>
      </c>
      <c r="G135" s="651">
        <v>0</v>
      </c>
      <c r="H135" s="651">
        <v>0</v>
      </c>
      <c r="I135" s="651">
        <f t="shared" si="250"/>
        <v>0</v>
      </c>
      <c r="J135" s="651">
        <v>0</v>
      </c>
      <c r="K135" s="650" t="s">
        <v>288</v>
      </c>
      <c r="L135" s="650">
        <v>1</v>
      </c>
      <c r="M135" s="272"/>
      <c r="N135" s="272"/>
      <c r="O135" s="277">
        <f t="shared" si="251"/>
        <v>0</v>
      </c>
      <c r="P135" s="277">
        <f t="shared" si="252"/>
        <v>0</v>
      </c>
      <c r="Q135" s="277">
        <f t="shared" si="253"/>
        <v>0</v>
      </c>
      <c r="R135" s="277">
        <f t="shared" si="254"/>
        <v>0</v>
      </c>
      <c r="S135" s="277">
        <f t="shared" si="255"/>
        <v>0</v>
      </c>
      <c r="T135" s="277">
        <f t="shared" si="256"/>
        <v>0</v>
      </c>
      <c r="U135" s="277">
        <f t="shared" si="257"/>
        <v>0</v>
      </c>
      <c r="V135" s="272"/>
      <c r="W135" s="653" t="s">
        <v>280</v>
      </c>
      <c r="X135" s="277">
        <f t="shared" si="258"/>
        <v>0</v>
      </c>
      <c r="Y135" s="277"/>
      <c r="Z135" s="277"/>
      <c r="AA135" s="277"/>
      <c r="AB135" s="274"/>
      <c r="AC135" s="295"/>
    </row>
    <row r="136" spans="2:29" x14ac:dyDescent="0.35">
      <c r="B136" s="272" t="str">
        <f t="shared" si="249"/>
        <v>Kapillarbrydende lag_Brugerdefineret_2</v>
      </c>
      <c r="C136" s="652">
        <v>100</v>
      </c>
      <c r="D136" s="651">
        <v>0</v>
      </c>
      <c r="E136" s="651">
        <v>0</v>
      </c>
      <c r="F136" s="651">
        <v>0</v>
      </c>
      <c r="G136" s="651">
        <v>0</v>
      </c>
      <c r="H136" s="651">
        <v>0</v>
      </c>
      <c r="I136" s="651">
        <f t="shared" si="250"/>
        <v>0</v>
      </c>
      <c r="J136" s="651">
        <v>0</v>
      </c>
      <c r="K136" s="650" t="s">
        <v>288</v>
      </c>
      <c r="L136" s="650">
        <v>1</v>
      </c>
      <c r="M136" s="272"/>
      <c r="N136" s="272"/>
      <c r="O136" s="277">
        <f t="shared" si="251"/>
        <v>0</v>
      </c>
      <c r="P136" s="277">
        <f t="shared" si="252"/>
        <v>0</v>
      </c>
      <c r="Q136" s="277">
        <f t="shared" si="253"/>
        <v>0</v>
      </c>
      <c r="R136" s="277">
        <f t="shared" si="254"/>
        <v>0</v>
      </c>
      <c r="S136" s="277">
        <f t="shared" si="255"/>
        <v>0</v>
      </c>
      <c r="T136" s="277">
        <f t="shared" si="256"/>
        <v>0</v>
      </c>
      <c r="U136" s="277">
        <f t="shared" si="257"/>
        <v>0</v>
      </c>
      <c r="V136" s="272"/>
      <c r="W136" s="653" t="s">
        <v>281</v>
      </c>
      <c r="X136" s="277">
        <f t="shared" ref="X136" si="260">T136</f>
        <v>0</v>
      </c>
      <c r="Y136" s="277"/>
      <c r="Z136" s="277"/>
      <c r="AA136" s="277"/>
      <c r="AB136" s="274"/>
      <c r="AC136" s="295"/>
    </row>
    <row r="137" spans="2:29" x14ac:dyDescent="0.35">
      <c r="B137" s="272" t="str">
        <f t="shared" si="249"/>
        <v>Kapillarbrydende lag_Brugerdefineret_3</v>
      </c>
      <c r="C137" s="652">
        <v>100</v>
      </c>
      <c r="D137" s="651">
        <v>0</v>
      </c>
      <c r="E137" s="651">
        <v>0</v>
      </c>
      <c r="F137" s="651">
        <v>0</v>
      </c>
      <c r="G137" s="651">
        <v>0</v>
      </c>
      <c r="H137" s="651">
        <v>0</v>
      </c>
      <c r="I137" s="651">
        <f t="shared" si="250"/>
        <v>0</v>
      </c>
      <c r="J137" s="651">
        <v>0</v>
      </c>
      <c r="K137" s="650" t="s">
        <v>288</v>
      </c>
      <c r="L137" s="650">
        <v>1</v>
      </c>
      <c r="M137" s="272"/>
      <c r="N137" s="272"/>
      <c r="O137" s="277">
        <f t="shared" si="251"/>
        <v>0</v>
      </c>
      <c r="P137" s="277">
        <f t="shared" si="252"/>
        <v>0</v>
      </c>
      <c r="Q137" s="277">
        <f t="shared" si="253"/>
        <v>0</v>
      </c>
      <c r="R137" s="277">
        <f t="shared" si="254"/>
        <v>0</v>
      </c>
      <c r="S137" s="277">
        <f t="shared" si="255"/>
        <v>0</v>
      </c>
      <c r="T137" s="277">
        <f t="shared" si="256"/>
        <v>0</v>
      </c>
      <c r="U137" s="277">
        <f t="shared" si="257"/>
        <v>0</v>
      </c>
      <c r="V137" s="272"/>
      <c r="W137" s="653" t="s">
        <v>282</v>
      </c>
      <c r="X137" s="277">
        <f t="shared" si="258"/>
        <v>0</v>
      </c>
      <c r="Y137" s="277"/>
      <c r="Z137" s="277"/>
      <c r="AA137" s="277"/>
      <c r="AB137" s="274"/>
      <c r="AC137" s="295"/>
    </row>
    <row r="138" spans="2:29" ht="23.5" x14ac:dyDescent="0.55000000000000004">
      <c r="B138" s="281" t="s">
        <v>41</v>
      </c>
      <c r="C138" s="276"/>
      <c r="D138" s="272"/>
      <c r="E138" s="272"/>
      <c r="F138" s="272"/>
      <c r="G138" s="272"/>
      <c r="H138" s="272"/>
      <c r="I138" s="277"/>
      <c r="J138" s="272"/>
      <c r="K138" s="272"/>
      <c r="L138" s="272"/>
      <c r="M138" s="272"/>
      <c r="N138" s="272"/>
      <c r="O138" s="272"/>
      <c r="P138" s="272"/>
      <c r="Q138" s="272"/>
      <c r="R138" s="272"/>
      <c r="S138" s="272"/>
      <c r="T138" s="272"/>
      <c r="U138" s="272"/>
      <c r="V138" s="272"/>
      <c r="W138" s="274" t="s">
        <v>302</v>
      </c>
      <c r="X138" s="275">
        <f t="shared" ref="X138" si="261">T138</f>
        <v>0</v>
      </c>
      <c r="Y138" s="277"/>
      <c r="Z138" s="272"/>
      <c r="AA138" s="277"/>
      <c r="AB138" s="274"/>
      <c r="AC138" s="295"/>
    </row>
    <row r="139" spans="2:29" x14ac:dyDescent="0.35">
      <c r="B139" s="271"/>
      <c r="C139" s="268">
        <v>200</v>
      </c>
      <c r="D139" s="272"/>
      <c r="E139" s="272"/>
      <c r="F139" s="272"/>
      <c r="G139" s="272"/>
      <c r="H139" s="272"/>
      <c r="I139" s="277"/>
      <c r="J139" s="272"/>
      <c r="K139" s="272"/>
      <c r="L139" s="272"/>
      <c r="M139" s="272"/>
      <c r="N139" s="272"/>
      <c r="O139" s="272"/>
      <c r="P139" s="272"/>
      <c r="Q139" s="272"/>
      <c r="R139" s="272"/>
      <c r="S139" s="272"/>
      <c r="T139" s="272"/>
      <c r="U139" s="272"/>
      <c r="V139" s="272"/>
      <c r="W139" s="274" t="s">
        <v>103</v>
      </c>
      <c r="X139" s="275"/>
      <c r="Y139" s="277"/>
      <c r="Z139" s="272"/>
      <c r="AA139" s="277"/>
      <c r="AB139" s="274"/>
      <c r="AC139" s="295"/>
    </row>
    <row r="140" spans="2:29" x14ac:dyDescent="0.35">
      <c r="B140" s="272" t="str">
        <f t="shared" ref="B140:B148" si="262">$B$138&amp;"_"&amp;W140</f>
        <v>Etagedæk_CLT</v>
      </c>
      <c r="C140" s="276">
        <v>120</v>
      </c>
      <c r="D140" s="277">
        <v>-132.80000000000001</v>
      </c>
      <c r="E140" s="277">
        <v>0</v>
      </c>
      <c r="F140" s="277">
        <v>0</v>
      </c>
      <c r="G140" s="277">
        <v>148.80000000000001</v>
      </c>
      <c r="H140" s="277">
        <v>0</v>
      </c>
      <c r="I140" s="277">
        <f>D140+G140+H140</f>
        <v>16</v>
      </c>
      <c r="J140" s="277">
        <v>-77.400000000000006</v>
      </c>
      <c r="K140" s="276" t="s">
        <v>270</v>
      </c>
      <c r="L140" s="276">
        <v>200</v>
      </c>
      <c r="M140" s="272"/>
      <c r="N140" s="272"/>
      <c r="O140" s="277">
        <f t="shared" ref="O140" si="263">D140/L140</f>
        <v>-0.66400000000000003</v>
      </c>
      <c r="P140" s="277">
        <f t="shared" ref="P140" si="264">E140/L140</f>
        <v>0</v>
      </c>
      <c r="Q140" s="277">
        <f t="shared" ref="Q140" si="265">F140/L140</f>
        <v>0</v>
      </c>
      <c r="R140" s="277">
        <f t="shared" ref="R140" si="266">G140/L140</f>
        <v>0.74400000000000011</v>
      </c>
      <c r="S140" s="277">
        <f t="shared" ref="S140" si="267">H140/L140</f>
        <v>0</v>
      </c>
      <c r="T140" s="294">
        <f t="shared" ref="T140" si="268">I140/L140</f>
        <v>0.08</v>
      </c>
      <c r="U140" s="277">
        <f t="shared" ref="U140" si="269">J140/L140</f>
        <v>-0.38700000000000001</v>
      </c>
      <c r="V140" s="272"/>
      <c r="W140" s="272" t="s">
        <v>299</v>
      </c>
      <c r="X140" s="277">
        <f t="shared" ref="X140:X149" si="270">T140</f>
        <v>0.08</v>
      </c>
      <c r="Y140" s="277">
        <v>94</v>
      </c>
      <c r="Z140" s="537" t="s">
        <v>848</v>
      </c>
      <c r="AA140" s="282">
        <f>Y140/L140</f>
        <v>0.47</v>
      </c>
      <c r="AB140" s="274"/>
      <c r="AC140" s="540">
        <f>I140</f>
        <v>16</v>
      </c>
    </row>
    <row r="141" spans="2:29" x14ac:dyDescent="0.35">
      <c r="B141" s="272" t="str">
        <f t="shared" si="262"/>
        <v>Etagedæk_Stål</v>
      </c>
      <c r="C141" s="284">
        <v>100</v>
      </c>
      <c r="D141" s="277">
        <v>29.82375</v>
      </c>
      <c r="E141" s="277">
        <v>0</v>
      </c>
      <c r="F141" s="277">
        <v>0</v>
      </c>
      <c r="G141" s="277">
        <v>4.8884440000000001E-2</v>
      </c>
      <c r="H141" s="277">
        <v>3.4103500000000003E-5</v>
      </c>
      <c r="I141" s="277">
        <f t="shared" ref="I141:I148" si="271">D141+G141+H141</f>
        <v>29.872668543499998</v>
      </c>
      <c r="J141" s="277">
        <v>-10.959234</v>
      </c>
      <c r="K141" s="277" t="s">
        <v>270</v>
      </c>
      <c r="L141" s="284">
        <v>250</v>
      </c>
      <c r="M141" s="272"/>
      <c r="N141" s="272"/>
      <c r="O141" s="277">
        <f t="shared" ref="O141:O148" si="272">D141/L141</f>
        <v>0.119295</v>
      </c>
      <c r="P141" s="277">
        <f t="shared" ref="P141:P148" si="273">E141/L141</f>
        <v>0</v>
      </c>
      <c r="Q141" s="277">
        <f t="shared" ref="Q141:Q148" si="274">F141/L141</f>
        <v>0</v>
      </c>
      <c r="R141" s="277">
        <f t="shared" ref="R141:R148" si="275">G141/L141</f>
        <v>1.9553775999999999E-4</v>
      </c>
      <c r="S141" s="277">
        <f t="shared" ref="S141:S148" si="276">H141/L141</f>
        <v>1.3641400000000002E-7</v>
      </c>
      <c r="T141" s="277">
        <f t="shared" ref="T141:T148" si="277">I141/L141</f>
        <v>0.11949067417399999</v>
      </c>
      <c r="U141" s="277">
        <f t="shared" ref="U141:U148" si="278">J141/L141</f>
        <v>-4.3836936E-2</v>
      </c>
      <c r="V141" s="272"/>
      <c r="W141" s="272" t="s">
        <v>335</v>
      </c>
      <c r="X141" s="277">
        <f t="shared" si="270"/>
        <v>0.11949067417399999</v>
      </c>
      <c r="Y141" s="277"/>
      <c r="Z141" s="272"/>
      <c r="AA141" s="282"/>
      <c r="AB141" s="274"/>
      <c r="AC141" s="540">
        <f>I141</f>
        <v>29.872668543499998</v>
      </c>
    </row>
    <row r="142" spans="2:29" x14ac:dyDescent="0.35">
      <c r="B142" s="272" t="str">
        <f t="shared" si="262"/>
        <v>Etagedæk_Letbeton</v>
      </c>
      <c r="C142" s="284">
        <v>100</v>
      </c>
      <c r="D142" s="277">
        <v>75.847725356037202</v>
      </c>
      <c r="E142" s="277">
        <v>0</v>
      </c>
      <c r="F142" s="277">
        <v>0</v>
      </c>
      <c r="G142" s="277">
        <v>1.05325077399381</v>
      </c>
      <c r="H142" s="277">
        <v>0.78925084786377697</v>
      </c>
      <c r="I142" s="277">
        <f t="shared" si="271"/>
        <v>77.690226977894795</v>
      </c>
      <c r="J142" s="277">
        <v>-11.0046873065016</v>
      </c>
      <c r="K142" s="277" t="s">
        <v>270</v>
      </c>
      <c r="L142" s="284">
        <v>200</v>
      </c>
      <c r="M142" s="272"/>
      <c r="N142" s="272"/>
      <c r="O142" s="277">
        <f t="shared" si="272"/>
        <v>0.37923862678018599</v>
      </c>
      <c r="P142" s="277">
        <f t="shared" si="273"/>
        <v>0</v>
      </c>
      <c r="Q142" s="277">
        <f t="shared" si="274"/>
        <v>0</v>
      </c>
      <c r="R142" s="277">
        <f t="shared" si="275"/>
        <v>5.2662538699690502E-3</v>
      </c>
      <c r="S142" s="277">
        <f t="shared" si="276"/>
        <v>3.9462542393188848E-3</v>
      </c>
      <c r="T142" s="277">
        <f t="shared" si="277"/>
        <v>0.38845113488947397</v>
      </c>
      <c r="U142" s="277">
        <f t="shared" si="278"/>
        <v>-5.5023436532507998E-2</v>
      </c>
      <c r="V142" s="272"/>
      <c r="W142" s="272" t="s">
        <v>336</v>
      </c>
      <c r="X142" s="277">
        <f t="shared" si="270"/>
        <v>0.38845113488947397</v>
      </c>
      <c r="Y142" s="277"/>
      <c r="Z142" s="272"/>
      <c r="AA142" s="282"/>
      <c r="AB142" s="274"/>
      <c r="AC142" s="540">
        <f>I142</f>
        <v>77.690226977894795</v>
      </c>
    </row>
    <row r="143" spans="2:29" x14ac:dyDescent="0.35">
      <c r="B143" s="272" t="str">
        <f t="shared" si="262"/>
        <v>Etagedæk_Betonelement C45/55</v>
      </c>
      <c r="C143" s="284">
        <v>120</v>
      </c>
      <c r="D143" s="277">
        <v>66.370385103633893</v>
      </c>
      <c r="E143" s="277">
        <v>0</v>
      </c>
      <c r="F143" s="277">
        <v>0</v>
      </c>
      <c r="G143" s="277">
        <v>0.95635871467025602</v>
      </c>
      <c r="H143" s="277">
        <v>0.71299925099327099</v>
      </c>
      <c r="I143" s="277">
        <f t="shared" si="271"/>
        <v>68.03974306929743</v>
      </c>
      <c r="J143" s="277">
        <v>-4.1129744091520903</v>
      </c>
      <c r="K143" s="277" t="s">
        <v>270</v>
      </c>
      <c r="L143" s="284">
        <v>220</v>
      </c>
      <c r="M143" s="272"/>
      <c r="N143" s="272"/>
      <c r="O143" s="277">
        <f t="shared" si="272"/>
        <v>0.30168356865288132</v>
      </c>
      <c r="P143" s="277">
        <f t="shared" si="273"/>
        <v>0</v>
      </c>
      <c r="Q143" s="277">
        <f t="shared" si="274"/>
        <v>0</v>
      </c>
      <c r="R143" s="277">
        <f t="shared" si="275"/>
        <v>4.3470850666829817E-3</v>
      </c>
      <c r="S143" s="277">
        <f t="shared" si="276"/>
        <v>3.2409056863330499E-3</v>
      </c>
      <c r="T143" s="277">
        <f t="shared" si="277"/>
        <v>0.3092715594058974</v>
      </c>
      <c r="U143" s="277">
        <f t="shared" si="278"/>
        <v>-1.8695338223418592E-2</v>
      </c>
      <c r="V143" s="272"/>
      <c r="W143" s="272" t="s">
        <v>337</v>
      </c>
      <c r="X143" s="277">
        <f t="shared" si="270"/>
        <v>0.3092715594058974</v>
      </c>
      <c r="Y143" s="277"/>
      <c r="Z143" s="272"/>
      <c r="AA143" s="282"/>
      <c r="AB143" s="274"/>
      <c r="AC143" s="540">
        <f>I143</f>
        <v>68.03974306929743</v>
      </c>
    </row>
    <row r="144" spans="2:29" x14ac:dyDescent="0.35">
      <c r="B144" s="272" t="str">
        <f t="shared" si="262"/>
        <v>Etagedæk_Træ bjælker</v>
      </c>
      <c r="C144" s="284">
        <v>100</v>
      </c>
      <c r="D144" s="277">
        <v>-44.781999999999996</v>
      </c>
      <c r="E144" s="277">
        <v>0</v>
      </c>
      <c r="F144" s="277">
        <v>0</v>
      </c>
      <c r="G144" s="277">
        <v>49.774000000000001</v>
      </c>
      <c r="H144" s="277">
        <v>3.4103500000000003E-5</v>
      </c>
      <c r="I144" s="277">
        <f t="shared" ref="I144:I146" si="279">D144+G144+H144</f>
        <v>4.9920341035000044</v>
      </c>
      <c r="J144" s="277">
        <v>-25.588000000000001</v>
      </c>
      <c r="K144" s="277" t="s">
        <v>270</v>
      </c>
      <c r="L144" s="284">
        <v>340</v>
      </c>
      <c r="M144" s="272"/>
      <c r="N144" s="272"/>
      <c r="O144" s="277">
        <f t="shared" ref="O144:O146" si="280">D144/L144</f>
        <v>-0.13171176470588233</v>
      </c>
      <c r="P144" s="277">
        <f t="shared" ref="P144:P146" si="281">E144/L144</f>
        <v>0</v>
      </c>
      <c r="Q144" s="277">
        <f t="shared" ref="Q144:Q146" si="282">F144/L144</f>
        <v>0</v>
      </c>
      <c r="R144" s="277">
        <f t="shared" ref="R144:R146" si="283">G144/L144</f>
        <v>0.14639411764705881</v>
      </c>
      <c r="S144" s="277">
        <f t="shared" ref="S144:S146" si="284">H144/L144</f>
        <v>1.0030441176470589E-7</v>
      </c>
      <c r="T144" s="277">
        <f t="shared" ref="T144:T146" si="285">I144/L144</f>
        <v>1.4682453245588247E-2</v>
      </c>
      <c r="U144" s="277">
        <f t="shared" ref="U144:U146" si="286">J144/L144</f>
        <v>-7.5258823529411767E-2</v>
      </c>
      <c r="V144" s="272"/>
      <c r="W144" s="272" t="s">
        <v>842</v>
      </c>
      <c r="X144" s="277">
        <f t="shared" si="270"/>
        <v>1.4682453245588247E-2</v>
      </c>
      <c r="Y144" s="277">
        <v>31.44</v>
      </c>
      <c r="Z144" s="537" t="s">
        <v>849</v>
      </c>
      <c r="AA144" s="282">
        <f>Y144/L144</f>
        <v>9.2470588235294124E-2</v>
      </c>
      <c r="AB144" s="274"/>
      <c r="AC144" s="540">
        <f>I144</f>
        <v>4.9920341035000044</v>
      </c>
    </row>
    <row r="145" spans="2:29" x14ac:dyDescent="0.35">
      <c r="B145" s="272" t="str">
        <f t="shared" ref="B145" si="287">$B$138&amp;"_"&amp;W145</f>
        <v>Etagedæk_Genbrugs dæk</v>
      </c>
      <c r="C145" s="284">
        <v>100</v>
      </c>
      <c r="D145" s="277">
        <v>0</v>
      </c>
      <c r="E145" s="277">
        <v>0</v>
      </c>
      <c r="F145" s="277">
        <v>0</v>
      </c>
      <c r="G145" s="277">
        <v>0</v>
      </c>
      <c r="H145" s="277">
        <v>0</v>
      </c>
      <c r="I145" s="277">
        <f t="shared" si="279"/>
        <v>0</v>
      </c>
      <c r="J145" s="277">
        <v>0</v>
      </c>
      <c r="K145" s="277" t="s">
        <v>270</v>
      </c>
      <c r="L145" s="284">
        <v>1</v>
      </c>
      <c r="M145" s="272"/>
      <c r="N145" s="272"/>
      <c r="O145" s="277">
        <f t="shared" si="280"/>
        <v>0</v>
      </c>
      <c r="P145" s="277">
        <f t="shared" si="281"/>
        <v>0</v>
      </c>
      <c r="Q145" s="277">
        <f t="shared" si="282"/>
        <v>0</v>
      </c>
      <c r="R145" s="277">
        <f t="shared" si="283"/>
        <v>0</v>
      </c>
      <c r="S145" s="277">
        <f t="shared" si="284"/>
        <v>0</v>
      </c>
      <c r="T145" s="277">
        <f t="shared" si="285"/>
        <v>0</v>
      </c>
      <c r="U145" s="277">
        <f t="shared" si="286"/>
        <v>0</v>
      </c>
      <c r="V145" s="272"/>
      <c r="W145" s="272" t="s">
        <v>1010</v>
      </c>
      <c r="X145" s="277">
        <f t="shared" ref="X145" si="288">T145</f>
        <v>0</v>
      </c>
      <c r="Y145" s="277"/>
      <c r="Z145" s="272"/>
      <c r="AA145" s="282"/>
      <c r="AB145" s="274"/>
      <c r="AC145" s="540"/>
    </row>
    <row r="146" spans="2:29" x14ac:dyDescent="0.35">
      <c r="B146" s="272" t="str">
        <f t="shared" ref="B146" si="289">$B$138&amp;"_"&amp;W146</f>
        <v>Etagedæk_Brugerdefineret_1</v>
      </c>
      <c r="C146" s="652">
        <v>100</v>
      </c>
      <c r="D146" s="651">
        <v>0</v>
      </c>
      <c r="E146" s="651">
        <v>0</v>
      </c>
      <c r="F146" s="651">
        <v>0</v>
      </c>
      <c r="G146" s="651">
        <v>0</v>
      </c>
      <c r="H146" s="651">
        <v>0</v>
      </c>
      <c r="I146" s="651">
        <f t="shared" si="279"/>
        <v>0</v>
      </c>
      <c r="J146" s="651">
        <v>0</v>
      </c>
      <c r="K146" s="650" t="s">
        <v>288</v>
      </c>
      <c r="L146" s="650">
        <v>1</v>
      </c>
      <c r="M146" s="272"/>
      <c r="N146" s="272"/>
      <c r="O146" s="277">
        <f t="shared" si="280"/>
        <v>0</v>
      </c>
      <c r="P146" s="277">
        <f t="shared" si="281"/>
        <v>0</v>
      </c>
      <c r="Q146" s="277">
        <f t="shared" si="282"/>
        <v>0</v>
      </c>
      <c r="R146" s="277">
        <f t="shared" si="283"/>
        <v>0</v>
      </c>
      <c r="S146" s="277">
        <f t="shared" si="284"/>
        <v>0</v>
      </c>
      <c r="T146" s="277">
        <f t="shared" si="285"/>
        <v>0</v>
      </c>
      <c r="U146" s="277">
        <f t="shared" si="286"/>
        <v>0</v>
      </c>
      <c r="V146" s="272"/>
      <c r="W146" s="653" t="s">
        <v>280</v>
      </c>
      <c r="X146" s="277">
        <f t="shared" ref="X146" si="290">T146</f>
        <v>0</v>
      </c>
      <c r="Y146" s="277"/>
      <c r="Z146" s="272"/>
      <c r="AA146" s="277"/>
      <c r="AB146" s="274"/>
      <c r="AC146" s="540">
        <f t="shared" ref="AC146:AC148" si="291">I146</f>
        <v>0</v>
      </c>
    </row>
    <row r="147" spans="2:29" x14ac:dyDescent="0.35">
      <c r="B147" s="272" t="str">
        <f t="shared" ref="B147" si="292">$B$138&amp;"_"&amp;W147</f>
        <v>Etagedæk_Brugerdefineret_2</v>
      </c>
      <c r="C147" s="652">
        <v>100</v>
      </c>
      <c r="D147" s="651">
        <v>0</v>
      </c>
      <c r="E147" s="651">
        <v>0</v>
      </c>
      <c r="F147" s="651">
        <v>0</v>
      </c>
      <c r="G147" s="651">
        <v>0</v>
      </c>
      <c r="H147" s="651">
        <v>0</v>
      </c>
      <c r="I147" s="651">
        <f t="shared" ref="I147" si="293">D147+G147+H147</f>
        <v>0</v>
      </c>
      <c r="J147" s="651">
        <v>0</v>
      </c>
      <c r="K147" s="650" t="s">
        <v>288</v>
      </c>
      <c r="L147" s="650">
        <v>1</v>
      </c>
      <c r="M147" s="272"/>
      <c r="N147" s="272"/>
      <c r="O147" s="277">
        <f t="shared" ref="O147" si="294">D147/L147</f>
        <v>0</v>
      </c>
      <c r="P147" s="277">
        <f t="shared" ref="P147" si="295">E147/L147</f>
        <v>0</v>
      </c>
      <c r="Q147" s="277">
        <f t="shared" ref="Q147" si="296">F147/L147</f>
        <v>0</v>
      </c>
      <c r="R147" s="277">
        <f t="shared" ref="R147" si="297">G147/L147</f>
        <v>0</v>
      </c>
      <c r="S147" s="277">
        <f t="shared" ref="S147" si="298">H147/L147</f>
        <v>0</v>
      </c>
      <c r="T147" s="277">
        <f t="shared" ref="T147" si="299">I147/L147</f>
        <v>0</v>
      </c>
      <c r="U147" s="277">
        <f t="shared" ref="U147" si="300">J147/L147</f>
        <v>0</v>
      </c>
      <c r="V147" s="272"/>
      <c r="W147" s="653" t="s">
        <v>281</v>
      </c>
      <c r="X147" s="277">
        <f t="shared" ref="X147" si="301">T147</f>
        <v>0</v>
      </c>
      <c r="Y147" s="277"/>
      <c r="Z147" s="272"/>
      <c r="AA147" s="277"/>
      <c r="AB147" s="274"/>
      <c r="AC147" s="540">
        <f t="shared" si="291"/>
        <v>0</v>
      </c>
    </row>
    <row r="148" spans="2:29" x14ac:dyDescent="0.35">
      <c r="B148" s="272" t="str">
        <f t="shared" si="262"/>
        <v>Etagedæk_Brugerdefineret_3</v>
      </c>
      <c r="C148" s="652">
        <v>100</v>
      </c>
      <c r="D148" s="651">
        <v>0</v>
      </c>
      <c r="E148" s="651">
        <v>0</v>
      </c>
      <c r="F148" s="651">
        <v>0</v>
      </c>
      <c r="G148" s="651">
        <v>0</v>
      </c>
      <c r="H148" s="651">
        <v>0</v>
      </c>
      <c r="I148" s="651">
        <f t="shared" si="271"/>
        <v>0</v>
      </c>
      <c r="J148" s="651">
        <v>0</v>
      </c>
      <c r="K148" s="650" t="s">
        <v>288</v>
      </c>
      <c r="L148" s="650">
        <v>1</v>
      </c>
      <c r="M148" s="272"/>
      <c r="N148" s="272"/>
      <c r="O148" s="277">
        <f t="shared" si="272"/>
        <v>0</v>
      </c>
      <c r="P148" s="277">
        <f t="shared" si="273"/>
        <v>0</v>
      </c>
      <c r="Q148" s="277">
        <f t="shared" si="274"/>
        <v>0</v>
      </c>
      <c r="R148" s="277">
        <f t="shared" si="275"/>
        <v>0</v>
      </c>
      <c r="S148" s="277">
        <f t="shared" si="276"/>
        <v>0</v>
      </c>
      <c r="T148" s="277">
        <f t="shared" si="277"/>
        <v>0</v>
      </c>
      <c r="U148" s="277">
        <f t="shared" si="278"/>
        <v>0</v>
      </c>
      <c r="V148" s="272"/>
      <c r="W148" s="653" t="s">
        <v>282</v>
      </c>
      <c r="X148" s="277">
        <f t="shared" si="270"/>
        <v>0</v>
      </c>
      <c r="Y148" s="277"/>
      <c r="Z148" s="272"/>
      <c r="AA148" s="277"/>
      <c r="AB148" s="274"/>
      <c r="AC148" s="540">
        <f t="shared" si="291"/>
        <v>0</v>
      </c>
    </row>
    <row r="149" spans="2:29" ht="23.5" x14ac:dyDescent="0.55000000000000004">
      <c r="B149" s="281" t="s">
        <v>338</v>
      </c>
      <c r="C149" s="276"/>
      <c r="D149" s="272"/>
      <c r="E149" s="272"/>
      <c r="F149" s="272"/>
      <c r="G149" s="272"/>
      <c r="H149" s="272"/>
      <c r="I149" s="277"/>
      <c r="J149" s="272"/>
      <c r="K149" s="272"/>
      <c r="L149" s="272"/>
      <c r="M149" s="272"/>
      <c r="N149" s="272"/>
      <c r="O149" s="272"/>
      <c r="P149" s="272"/>
      <c r="Q149" s="272"/>
      <c r="R149" s="272"/>
      <c r="S149" s="272"/>
      <c r="T149" s="272"/>
      <c r="U149" s="272"/>
      <c r="V149" s="272"/>
      <c r="W149" s="274" t="s">
        <v>302</v>
      </c>
      <c r="X149" s="275">
        <f t="shared" si="270"/>
        <v>0</v>
      </c>
      <c r="Y149" s="277"/>
      <c r="Z149" s="272"/>
      <c r="AA149" s="277"/>
      <c r="AB149" s="274"/>
      <c r="AC149" s="295"/>
    </row>
    <row r="150" spans="2:29" x14ac:dyDescent="0.35">
      <c r="B150" s="271"/>
      <c r="C150" s="268">
        <v>200</v>
      </c>
      <c r="D150" s="272"/>
      <c r="E150" s="272"/>
      <c r="F150" s="272"/>
      <c r="G150" s="272"/>
      <c r="H150" s="272"/>
      <c r="I150" s="277"/>
      <c r="J150" s="272"/>
      <c r="K150" s="272"/>
      <c r="L150" s="272"/>
      <c r="M150" s="272"/>
      <c r="N150" s="272"/>
      <c r="O150" s="272"/>
      <c r="P150" s="272"/>
      <c r="Q150" s="272"/>
      <c r="R150" s="272"/>
      <c r="S150" s="272"/>
      <c r="T150" s="272"/>
      <c r="U150" s="272"/>
      <c r="V150" s="272"/>
      <c r="W150" s="274" t="s">
        <v>103</v>
      </c>
      <c r="X150" s="275"/>
      <c r="Y150" s="277"/>
      <c r="Z150" s="272"/>
      <c r="AA150" s="277"/>
      <c r="AB150" s="274"/>
      <c r="AC150" s="295"/>
    </row>
    <row r="151" spans="2:29" x14ac:dyDescent="0.35">
      <c r="B151" s="272" t="str">
        <f t="shared" ref="B151:B166" si="302">$B$149&amp;"_"&amp;W151</f>
        <v>Gulvoverflade_Linoleum</v>
      </c>
      <c r="C151" s="284">
        <v>40</v>
      </c>
      <c r="D151" s="277">
        <v>15.4321737</v>
      </c>
      <c r="E151" s="277">
        <v>1.8570447450000001</v>
      </c>
      <c r="F151" s="277">
        <v>0</v>
      </c>
      <c r="G151" s="277">
        <v>4.1425510000000001</v>
      </c>
      <c r="H151" s="277">
        <v>1.626379045</v>
      </c>
      <c r="I151" s="277">
        <f>D151+G151+H151</f>
        <v>21.201103745000001</v>
      </c>
      <c r="J151" s="277">
        <v>-2.5971047399999998</v>
      </c>
      <c r="K151" s="276" t="s">
        <v>270</v>
      </c>
      <c r="L151" s="535">
        <v>2.5</v>
      </c>
      <c r="M151" s="272"/>
      <c r="N151" s="272"/>
      <c r="O151" s="277">
        <f t="shared" ref="O151:O166" si="303">D151/L151</f>
        <v>6.1728694800000001</v>
      </c>
      <c r="P151" s="277">
        <f t="shared" ref="P151:P166" si="304">E151/L151</f>
        <v>0.74281789799999998</v>
      </c>
      <c r="Q151" s="277">
        <f t="shared" ref="Q151:Q166" si="305">F151/L151</f>
        <v>0</v>
      </c>
      <c r="R151" s="277">
        <f t="shared" ref="R151:R166" si="306">G151/L151</f>
        <v>1.6570203999999999</v>
      </c>
      <c r="S151" s="277">
        <f t="shared" ref="S151:S166" si="307">H151/L151</f>
        <v>0.65055161799999994</v>
      </c>
      <c r="T151" s="277">
        <f t="shared" ref="T151:T166" si="308">I151/L151</f>
        <v>8.4804414980000011</v>
      </c>
      <c r="U151" s="277">
        <f t="shared" ref="U151:U166" si="309">J151/L151</f>
        <v>-1.0388418959999999</v>
      </c>
      <c r="V151" s="272"/>
      <c r="W151" s="272" t="s">
        <v>339</v>
      </c>
      <c r="X151" s="277">
        <f t="shared" ref="X151:X167" si="310">T151</f>
        <v>8.4804414980000011</v>
      </c>
      <c r="Y151" s="277"/>
      <c r="Z151" s="272"/>
      <c r="AA151" s="277"/>
      <c r="AB151" s="274"/>
      <c r="AC151" s="540">
        <f t="shared" ref="AC151:AC158" si="311">I151</f>
        <v>21.201103745000001</v>
      </c>
    </row>
    <row r="152" spans="2:29" x14ac:dyDescent="0.35">
      <c r="B152" s="272" t="str">
        <f t="shared" si="302"/>
        <v>Gulvoverflade_Gulvklinker</v>
      </c>
      <c r="C152" s="284">
        <v>80</v>
      </c>
      <c r="D152" s="277">
        <v>25.037785199999998</v>
      </c>
      <c r="E152" s="277">
        <v>0</v>
      </c>
      <c r="F152" s="277">
        <v>0</v>
      </c>
      <c r="G152" s="277">
        <v>0.14674400000000001</v>
      </c>
      <c r="H152" s="277">
        <v>1.6742740700000001</v>
      </c>
      <c r="I152" s="277">
        <f>D152+G152+H152</f>
        <v>26.858803269999999</v>
      </c>
      <c r="J152" s="277">
        <v>-0.14623087500000001</v>
      </c>
      <c r="K152" s="276" t="s">
        <v>270</v>
      </c>
      <c r="L152" s="284">
        <v>10</v>
      </c>
      <c r="M152" s="272"/>
      <c r="N152" s="272"/>
      <c r="O152" s="277">
        <f t="shared" si="303"/>
        <v>2.50377852</v>
      </c>
      <c r="P152" s="277">
        <f t="shared" si="304"/>
        <v>0</v>
      </c>
      <c r="Q152" s="277">
        <f t="shared" si="305"/>
        <v>0</v>
      </c>
      <c r="R152" s="277">
        <f t="shared" si="306"/>
        <v>1.4674400000000001E-2</v>
      </c>
      <c r="S152" s="277">
        <f t="shared" si="307"/>
        <v>0.167427407</v>
      </c>
      <c r="T152" s="277">
        <f t="shared" si="308"/>
        <v>2.685880327</v>
      </c>
      <c r="U152" s="277">
        <f t="shared" si="309"/>
        <v>-1.4623087500000001E-2</v>
      </c>
      <c r="V152" s="272"/>
      <c r="W152" s="272" t="s">
        <v>340</v>
      </c>
      <c r="X152" s="277">
        <f t="shared" si="310"/>
        <v>2.685880327</v>
      </c>
      <c r="Y152" s="277"/>
      <c r="Z152" s="272"/>
      <c r="AA152" s="277"/>
      <c r="AB152" s="274"/>
      <c r="AC152" s="540">
        <f t="shared" si="311"/>
        <v>26.858803269999999</v>
      </c>
    </row>
    <row r="153" spans="2:29" x14ac:dyDescent="0.35">
      <c r="B153" s="272" t="str">
        <f t="shared" si="302"/>
        <v>Gulvoverflade_Svømmende parket</v>
      </c>
      <c r="C153" s="284">
        <v>80</v>
      </c>
      <c r="D153" s="277">
        <v>4.1023914000000001</v>
      </c>
      <c r="E153" s="277">
        <v>0</v>
      </c>
      <c r="F153" s="277">
        <v>0</v>
      </c>
      <c r="G153" s="277">
        <v>21.456854100000001</v>
      </c>
      <c r="H153" s="277">
        <v>1.6235280000000001</v>
      </c>
      <c r="I153" s="277">
        <f>D153+G153+H153</f>
        <v>27.182773500000003</v>
      </c>
      <c r="J153" s="277">
        <v>-5.88285765</v>
      </c>
      <c r="K153" s="276" t="s">
        <v>270</v>
      </c>
      <c r="L153" s="284">
        <v>22</v>
      </c>
      <c r="M153" s="272"/>
      <c r="N153" s="272"/>
      <c r="O153" s="277">
        <f t="shared" si="303"/>
        <v>0.18647233636363636</v>
      </c>
      <c r="P153" s="277">
        <f t="shared" si="304"/>
        <v>0</v>
      </c>
      <c r="Q153" s="277">
        <f t="shared" si="305"/>
        <v>0</v>
      </c>
      <c r="R153" s="277">
        <f t="shared" si="306"/>
        <v>0.97531155000000003</v>
      </c>
      <c r="S153" s="277">
        <f t="shared" si="307"/>
        <v>7.3796727272727278E-2</v>
      </c>
      <c r="T153" s="277">
        <f t="shared" si="308"/>
        <v>1.2355806136363638</v>
      </c>
      <c r="U153" s="277">
        <f t="shared" si="309"/>
        <v>-0.26740262045454544</v>
      </c>
      <c r="V153" s="272"/>
      <c r="W153" s="272" t="s">
        <v>341</v>
      </c>
      <c r="X153" s="277">
        <f t="shared" si="310"/>
        <v>1.2355806136363638</v>
      </c>
      <c r="Y153" s="277">
        <v>10.4535</v>
      </c>
      <c r="Z153" s="272" t="s">
        <v>881</v>
      </c>
      <c r="AA153" s="282">
        <f>Y153/L153</f>
        <v>0.47515909090909092</v>
      </c>
      <c r="AB153" s="274"/>
      <c r="AC153" s="540">
        <f t="shared" si="311"/>
        <v>27.182773500000003</v>
      </c>
    </row>
    <row r="154" spans="2:29" x14ac:dyDescent="0.35">
      <c r="B154" s="272" t="str">
        <f t="shared" si="302"/>
        <v xml:space="preserve">Gulvoverflade_Trægulv på strøer </v>
      </c>
      <c r="C154" s="284">
        <v>80</v>
      </c>
      <c r="D154" s="277">
        <v>-18.067090499999999</v>
      </c>
      <c r="E154" s="277">
        <v>0</v>
      </c>
      <c r="F154" s="277">
        <v>0</v>
      </c>
      <c r="G154" s="277">
        <v>24.542733349999999</v>
      </c>
      <c r="H154" s="277">
        <v>1.7981054999999999E-2</v>
      </c>
      <c r="I154" s="277">
        <f>D154+G154+H154</f>
        <v>6.4936239049999998</v>
      </c>
      <c r="J154" s="277">
        <v>-7.1742480000000004</v>
      </c>
      <c r="K154" s="276" t="s">
        <v>270</v>
      </c>
      <c r="L154" s="284">
        <v>22</v>
      </c>
      <c r="M154" s="272"/>
      <c r="N154" s="272"/>
      <c r="O154" s="277">
        <f t="shared" si="303"/>
        <v>-0.82123138636363635</v>
      </c>
      <c r="P154" s="277">
        <f t="shared" si="304"/>
        <v>0</v>
      </c>
      <c r="Q154" s="277">
        <f t="shared" si="305"/>
        <v>0</v>
      </c>
      <c r="R154" s="277">
        <f t="shared" si="306"/>
        <v>1.1155787886363635</v>
      </c>
      <c r="S154" s="277">
        <f t="shared" si="307"/>
        <v>8.1732068181818174E-4</v>
      </c>
      <c r="T154" s="277">
        <f t="shared" si="308"/>
        <v>0.29516472295454543</v>
      </c>
      <c r="U154" s="277">
        <f t="shared" si="309"/>
        <v>-0.32610218181818185</v>
      </c>
      <c r="V154" s="272"/>
      <c r="W154" s="272" t="s">
        <v>342</v>
      </c>
      <c r="X154" s="277">
        <f t="shared" si="310"/>
        <v>0.29516472295454543</v>
      </c>
      <c r="Y154" s="277">
        <v>13.85</v>
      </c>
      <c r="Z154" s="272" t="s">
        <v>880</v>
      </c>
      <c r="AA154" s="282">
        <f>Y154/L154</f>
        <v>0.62954545454545452</v>
      </c>
      <c r="AB154" s="274"/>
      <c r="AC154" s="540">
        <f t="shared" si="311"/>
        <v>6.4936239049999998</v>
      </c>
    </row>
    <row r="155" spans="2:29" x14ac:dyDescent="0.35">
      <c r="B155" s="272" t="str">
        <f t="shared" si="302"/>
        <v>Gulvoverflade_Beton</v>
      </c>
      <c r="C155" s="284">
        <v>120</v>
      </c>
      <c r="D155" s="277">
        <v>22.187519999999999</v>
      </c>
      <c r="E155" s="277">
        <v>0</v>
      </c>
      <c r="F155" s="277">
        <v>0</v>
      </c>
      <c r="G155" s="277">
        <v>0</v>
      </c>
      <c r="H155" s="277">
        <v>1.98366</v>
      </c>
      <c r="I155" s="277">
        <f t="shared" ref="I155:I166" si="312">D155+G155+H155</f>
        <v>24.17118</v>
      </c>
      <c r="J155" s="277">
        <v>-9.6300000000000011E-2</v>
      </c>
      <c r="K155" s="276" t="s">
        <v>270</v>
      </c>
      <c r="L155" s="284">
        <v>50</v>
      </c>
      <c r="M155" s="272"/>
      <c r="N155" s="272"/>
      <c r="O155" s="277">
        <f t="shared" si="303"/>
        <v>0.44375039999999999</v>
      </c>
      <c r="P155" s="277">
        <f t="shared" si="304"/>
        <v>0</v>
      </c>
      <c r="Q155" s="277">
        <f t="shared" si="305"/>
        <v>0</v>
      </c>
      <c r="R155" s="277">
        <f t="shared" si="306"/>
        <v>0</v>
      </c>
      <c r="S155" s="277">
        <f t="shared" si="307"/>
        <v>3.9673199999999999E-2</v>
      </c>
      <c r="T155" s="277">
        <f t="shared" si="308"/>
        <v>0.48342360000000001</v>
      </c>
      <c r="U155" s="277">
        <f t="shared" si="309"/>
        <v>-1.9260000000000002E-3</v>
      </c>
      <c r="V155" s="272"/>
      <c r="W155" s="272" t="s">
        <v>343</v>
      </c>
      <c r="X155" s="277">
        <f t="shared" si="310"/>
        <v>0.48342360000000001</v>
      </c>
      <c r="Y155" s="277"/>
      <c r="Z155" s="272"/>
      <c r="AA155" s="277"/>
      <c r="AB155" s="274"/>
      <c r="AC155" s="540">
        <f t="shared" si="311"/>
        <v>24.17118</v>
      </c>
    </row>
    <row r="156" spans="2:29" x14ac:dyDescent="0.35">
      <c r="B156" s="272" t="str">
        <f t="shared" si="302"/>
        <v>Gulvoverflade_Vinyl</v>
      </c>
      <c r="C156" s="284">
        <v>80</v>
      </c>
      <c r="D156" s="277">
        <v>25.774515999999998</v>
      </c>
      <c r="E156" s="277">
        <v>48.036659999999998</v>
      </c>
      <c r="F156" s="277">
        <v>0</v>
      </c>
      <c r="G156" s="277">
        <v>8.02</v>
      </c>
      <c r="H156" s="277">
        <v>1.6235280000000001</v>
      </c>
      <c r="I156" s="277">
        <f t="shared" si="312"/>
        <v>35.418044000000002</v>
      </c>
      <c r="J156" s="277">
        <v>-6.60886</v>
      </c>
      <c r="K156" s="276" t="s">
        <v>270</v>
      </c>
      <c r="L156" s="284">
        <v>2</v>
      </c>
      <c r="M156" s="272"/>
      <c r="N156" s="272"/>
      <c r="O156" s="277">
        <f t="shared" si="303"/>
        <v>12.887257999999999</v>
      </c>
      <c r="P156" s="277">
        <f t="shared" si="304"/>
        <v>24.018329999999999</v>
      </c>
      <c r="Q156" s="277">
        <f t="shared" si="305"/>
        <v>0</v>
      </c>
      <c r="R156" s="277">
        <f t="shared" si="306"/>
        <v>4.01</v>
      </c>
      <c r="S156" s="277">
        <f t="shared" si="307"/>
        <v>0.81176400000000004</v>
      </c>
      <c r="T156" s="277">
        <f t="shared" si="308"/>
        <v>17.709022000000001</v>
      </c>
      <c r="U156" s="277">
        <f t="shared" si="309"/>
        <v>-3.30443</v>
      </c>
      <c r="V156" s="272"/>
      <c r="W156" s="272" t="s">
        <v>344</v>
      </c>
      <c r="X156" s="277">
        <f t="shared" si="310"/>
        <v>17.709022000000001</v>
      </c>
      <c r="Y156" s="277"/>
      <c r="Z156" s="272"/>
      <c r="AA156" s="277"/>
      <c r="AB156" s="274"/>
      <c r="AC156" s="540">
        <f t="shared" si="311"/>
        <v>35.418044000000002</v>
      </c>
    </row>
    <row r="157" spans="2:29" x14ac:dyDescent="0.35">
      <c r="B157" s="272" t="str">
        <f t="shared" si="302"/>
        <v>Gulvoverflade_Gummi</v>
      </c>
      <c r="C157" s="284">
        <v>40</v>
      </c>
      <c r="D157" s="277">
        <v>30.666295999999999</v>
      </c>
      <c r="E157" s="277">
        <v>26.75</v>
      </c>
      <c r="F157" s="277">
        <v>0</v>
      </c>
      <c r="G157" s="277">
        <v>13.866</v>
      </c>
      <c r="H157" s="277">
        <v>1.6235280000000001</v>
      </c>
      <c r="I157" s="277">
        <f t="shared" si="312"/>
        <v>46.155824000000003</v>
      </c>
      <c r="J157" s="277">
        <v>-16.442820000000001</v>
      </c>
      <c r="K157" s="276" t="s">
        <v>270</v>
      </c>
      <c r="L157" s="284">
        <v>8</v>
      </c>
      <c r="M157" s="272"/>
      <c r="N157" s="272"/>
      <c r="O157" s="277">
        <f t="shared" si="303"/>
        <v>3.8332869999999999</v>
      </c>
      <c r="P157" s="277">
        <f t="shared" si="304"/>
        <v>3.34375</v>
      </c>
      <c r="Q157" s="277">
        <f t="shared" si="305"/>
        <v>0</v>
      </c>
      <c r="R157" s="277">
        <f t="shared" si="306"/>
        <v>1.73325</v>
      </c>
      <c r="S157" s="277">
        <f t="shared" si="307"/>
        <v>0.20294100000000001</v>
      </c>
      <c r="T157" s="277">
        <f t="shared" si="308"/>
        <v>5.7694780000000003</v>
      </c>
      <c r="U157" s="277">
        <f t="shared" si="309"/>
        <v>-2.0553525000000001</v>
      </c>
      <c r="V157" s="272"/>
      <c r="W157" s="272" t="s">
        <v>345</v>
      </c>
      <c r="X157" s="277">
        <f t="shared" si="310"/>
        <v>5.7694780000000003</v>
      </c>
      <c r="Y157" s="277"/>
      <c r="Z157" s="272"/>
      <c r="AA157" s="277"/>
      <c r="AB157" s="274"/>
      <c r="AC157" s="540">
        <f t="shared" si="311"/>
        <v>46.155824000000003</v>
      </c>
    </row>
    <row r="158" spans="2:29" x14ac:dyDescent="0.35">
      <c r="B158" s="272" t="str">
        <f t="shared" si="302"/>
        <v>Gulvoverflade_Laminat</v>
      </c>
      <c r="C158" s="284">
        <v>50</v>
      </c>
      <c r="D158" s="277">
        <v>12.510296</v>
      </c>
      <c r="E158" s="277">
        <v>0</v>
      </c>
      <c r="F158" s="277">
        <v>0</v>
      </c>
      <c r="G158" s="277">
        <v>13.5</v>
      </c>
      <c r="H158" s="277">
        <v>1.6235280000000001</v>
      </c>
      <c r="I158" s="277">
        <f t="shared" si="312"/>
        <v>27.633824000000001</v>
      </c>
      <c r="J158" s="277">
        <v>-3.7452999999999999</v>
      </c>
      <c r="K158" s="276" t="s">
        <v>270</v>
      </c>
      <c r="L158" s="284">
        <v>2</v>
      </c>
      <c r="M158" s="272"/>
      <c r="N158" s="272"/>
      <c r="O158" s="277">
        <f t="shared" si="303"/>
        <v>6.2551480000000002</v>
      </c>
      <c r="P158" s="277">
        <f t="shared" si="304"/>
        <v>0</v>
      </c>
      <c r="Q158" s="277">
        <f t="shared" si="305"/>
        <v>0</v>
      </c>
      <c r="R158" s="277">
        <f t="shared" si="306"/>
        <v>6.75</v>
      </c>
      <c r="S158" s="277">
        <f t="shared" si="307"/>
        <v>0.81176400000000004</v>
      </c>
      <c r="T158" s="277">
        <f t="shared" si="308"/>
        <v>13.816912</v>
      </c>
      <c r="U158" s="277">
        <f t="shared" si="309"/>
        <v>-1.8726499999999999</v>
      </c>
      <c r="V158" s="272"/>
      <c r="W158" s="272" t="s">
        <v>877</v>
      </c>
      <c r="X158" s="277">
        <f t="shared" si="310"/>
        <v>13.816912</v>
      </c>
      <c r="Y158" s="277"/>
      <c r="Z158" s="272"/>
      <c r="AA158" s="277"/>
      <c r="AB158" s="274"/>
      <c r="AC158" s="540">
        <f t="shared" si="311"/>
        <v>27.633824000000001</v>
      </c>
    </row>
    <row r="159" spans="2:29" x14ac:dyDescent="0.35">
      <c r="B159" s="272" t="str">
        <f t="shared" si="302"/>
        <v>Gulvoverflade_Naturstensfliser</v>
      </c>
      <c r="C159" s="284">
        <v>80</v>
      </c>
      <c r="D159" s="277">
        <v>49.915331199999997</v>
      </c>
      <c r="E159" s="277">
        <v>0</v>
      </c>
      <c r="F159" s="277">
        <v>0</v>
      </c>
      <c r="G159" s="277">
        <v>0.34974100000000002</v>
      </c>
      <c r="H159" s="277">
        <v>1.64153467</v>
      </c>
      <c r="I159" s="277">
        <f t="shared" si="312"/>
        <v>51.906606869999997</v>
      </c>
      <c r="J159" s="277">
        <v>-0.20624777499999999</v>
      </c>
      <c r="K159" s="276" t="s">
        <v>270</v>
      </c>
      <c r="L159" s="284">
        <v>20</v>
      </c>
      <c r="M159" s="272"/>
      <c r="N159" s="272"/>
      <c r="O159" s="277">
        <f t="shared" si="303"/>
        <v>2.4957665599999999</v>
      </c>
      <c r="P159" s="277">
        <f t="shared" si="304"/>
        <v>0</v>
      </c>
      <c r="Q159" s="277">
        <f t="shared" si="305"/>
        <v>0</v>
      </c>
      <c r="R159" s="277">
        <f t="shared" si="306"/>
        <v>1.7487050000000001E-2</v>
      </c>
      <c r="S159" s="277">
        <f t="shared" si="307"/>
        <v>8.2076733499999999E-2</v>
      </c>
      <c r="T159" s="277">
        <f t="shared" si="308"/>
        <v>2.5953303434999997</v>
      </c>
      <c r="U159" s="277">
        <f t="shared" si="309"/>
        <v>-1.031238875E-2</v>
      </c>
      <c r="V159" s="272"/>
      <c r="W159" s="272" t="s">
        <v>878</v>
      </c>
      <c r="X159" s="277">
        <f t="shared" si="310"/>
        <v>2.5953303434999997</v>
      </c>
      <c r="Y159" s="277"/>
      <c r="Z159" s="272"/>
      <c r="AA159" s="277"/>
      <c r="AB159" s="274"/>
      <c r="AC159" s="540">
        <f>I159</f>
        <v>51.906606869999997</v>
      </c>
    </row>
    <row r="160" spans="2:29" x14ac:dyDescent="0.35">
      <c r="B160" s="272" t="str">
        <f t="shared" ref="B160:B165" si="313">$B$149&amp;"_"&amp;W160</f>
        <v>Gulvoverflade_Vådrumsgulv, fliser</v>
      </c>
      <c r="C160" s="284">
        <v>80</v>
      </c>
      <c r="D160" s="277">
        <v>30.7750092</v>
      </c>
      <c r="E160" s="277">
        <v>0</v>
      </c>
      <c r="F160" s="277">
        <v>0</v>
      </c>
      <c r="G160" s="277">
        <v>0.14993960000000001</v>
      </c>
      <c r="H160" s="277">
        <v>2.0344060700000002</v>
      </c>
      <c r="I160" s="277">
        <f t="shared" ref="I160:I165" si="314">D160+G160+H160</f>
        <v>32.959354869999999</v>
      </c>
      <c r="J160" s="277">
        <v>-0.14623087500000001</v>
      </c>
      <c r="K160" s="276" t="s">
        <v>270</v>
      </c>
      <c r="L160" s="284">
        <v>10</v>
      </c>
      <c r="M160" s="272"/>
      <c r="N160" s="272"/>
      <c r="O160" s="277">
        <f t="shared" ref="O160:O165" si="315">D160/L160</f>
        <v>3.0775009199999999</v>
      </c>
      <c r="P160" s="277">
        <f t="shared" ref="P160:P165" si="316">E160/L160</f>
        <v>0</v>
      </c>
      <c r="Q160" s="277">
        <f t="shared" ref="Q160:Q165" si="317">F160/L160</f>
        <v>0</v>
      </c>
      <c r="R160" s="277">
        <f t="shared" ref="R160:R165" si="318">G160/L160</f>
        <v>1.4993960000000001E-2</v>
      </c>
      <c r="S160" s="277">
        <f t="shared" ref="S160:S165" si="319">H160/L160</f>
        <v>0.20344060700000002</v>
      </c>
      <c r="T160" s="277">
        <f t="shared" ref="T160:T165" si="320">I160/L160</f>
        <v>3.2959354869999999</v>
      </c>
      <c r="U160" s="277">
        <f t="shared" ref="U160:U165" si="321">J160/L160</f>
        <v>-1.4623087500000001E-2</v>
      </c>
      <c r="V160" s="272"/>
      <c r="W160" s="272" t="s">
        <v>879</v>
      </c>
      <c r="X160" s="277">
        <f t="shared" ref="X160:X165" si="322">T160</f>
        <v>3.2959354869999999</v>
      </c>
      <c r="Y160" s="277"/>
      <c r="Z160" s="272"/>
      <c r="AA160" s="277"/>
      <c r="AB160" s="274"/>
      <c r="AC160" s="540">
        <f t="shared" ref="AC160:AC165" si="323">I160</f>
        <v>32.959354869999999</v>
      </c>
    </row>
    <row r="161" spans="2:29" x14ac:dyDescent="0.35">
      <c r="B161" s="272" t="str">
        <f t="shared" si="313"/>
        <v>Gulvoverflade_Genbrugs gulv på beton</v>
      </c>
      <c r="C161" s="284">
        <v>120</v>
      </c>
      <c r="D161" s="277">
        <v>22.187519999999999</v>
      </c>
      <c r="E161" s="277">
        <v>0</v>
      </c>
      <c r="F161" s="277">
        <v>0</v>
      </c>
      <c r="G161" s="277">
        <v>0</v>
      </c>
      <c r="H161" s="277">
        <v>1.98366</v>
      </c>
      <c r="I161" s="277">
        <f t="shared" si="314"/>
        <v>24.17118</v>
      </c>
      <c r="J161" s="277">
        <v>-9.6300000000000011E-2</v>
      </c>
      <c r="K161" s="276" t="s">
        <v>270</v>
      </c>
      <c r="L161" s="284">
        <v>1</v>
      </c>
      <c r="M161" s="272"/>
      <c r="N161" s="272"/>
      <c r="O161" s="277">
        <f t="shared" si="315"/>
        <v>22.187519999999999</v>
      </c>
      <c r="P161" s="277">
        <f t="shared" si="316"/>
        <v>0</v>
      </c>
      <c r="Q161" s="277">
        <f t="shared" si="317"/>
        <v>0</v>
      </c>
      <c r="R161" s="277">
        <f t="shared" si="318"/>
        <v>0</v>
      </c>
      <c r="S161" s="277">
        <f t="shared" si="319"/>
        <v>1.98366</v>
      </c>
      <c r="T161" s="277">
        <f t="shared" si="320"/>
        <v>24.17118</v>
      </c>
      <c r="U161" s="277">
        <f t="shared" si="321"/>
        <v>-9.6300000000000011E-2</v>
      </c>
      <c r="V161" s="272"/>
      <c r="W161" s="272" t="s">
        <v>1011</v>
      </c>
      <c r="X161" s="277">
        <f t="shared" si="322"/>
        <v>24.17118</v>
      </c>
      <c r="Y161" s="277"/>
      <c r="Z161" s="272"/>
      <c r="AA161" s="277"/>
      <c r="AB161" s="274"/>
      <c r="AC161" s="540">
        <f t="shared" si="323"/>
        <v>24.17118</v>
      </c>
    </row>
    <row r="162" spans="2:29" x14ac:dyDescent="0.35">
      <c r="B162" s="272" t="str">
        <f t="shared" si="313"/>
        <v xml:space="preserve">Gulvoverflade_Genbrugs gulv på strøer </v>
      </c>
      <c r="C162" s="284">
        <v>80</v>
      </c>
      <c r="D162" s="277">
        <v>-18.067090499999999</v>
      </c>
      <c r="E162" s="277">
        <v>0</v>
      </c>
      <c r="F162" s="277">
        <v>0</v>
      </c>
      <c r="G162" s="277">
        <v>24.542733349999999</v>
      </c>
      <c r="H162" s="277">
        <v>1.7981054999999999E-2</v>
      </c>
      <c r="I162" s="277">
        <f>D162+G162+H162</f>
        <v>6.4936239049999998</v>
      </c>
      <c r="J162" s="277">
        <v>-7.1742480000000004</v>
      </c>
      <c r="K162" s="276" t="s">
        <v>270</v>
      </c>
      <c r="L162" s="284">
        <v>1</v>
      </c>
      <c r="M162" s="272"/>
      <c r="N162" s="272"/>
      <c r="O162" s="277">
        <f t="shared" si="315"/>
        <v>-18.067090499999999</v>
      </c>
      <c r="P162" s="277">
        <f t="shared" si="316"/>
        <v>0</v>
      </c>
      <c r="Q162" s="277">
        <f t="shared" si="317"/>
        <v>0</v>
      </c>
      <c r="R162" s="277">
        <f t="shared" si="318"/>
        <v>24.542733349999999</v>
      </c>
      <c r="S162" s="277">
        <f t="shared" si="319"/>
        <v>1.7981054999999999E-2</v>
      </c>
      <c r="T162" s="277">
        <f t="shared" si="320"/>
        <v>6.4936239049999998</v>
      </c>
      <c r="U162" s="277">
        <f t="shared" si="321"/>
        <v>-7.1742480000000004</v>
      </c>
      <c r="V162" s="272"/>
      <c r="W162" s="272" t="s">
        <v>1012</v>
      </c>
      <c r="X162" s="277">
        <f t="shared" si="322"/>
        <v>6.4936239049999998</v>
      </c>
      <c r="Y162" s="277"/>
      <c r="Z162" s="272"/>
      <c r="AA162" s="282"/>
      <c r="AB162" s="274"/>
      <c r="AC162" s="540">
        <f t="shared" si="323"/>
        <v>6.4936239049999998</v>
      </c>
    </row>
    <row r="163" spans="2:29" x14ac:dyDescent="0.35">
      <c r="B163" s="272" t="str">
        <f t="shared" ref="B163" si="324">$B$149&amp;"_"&amp;W163</f>
        <v>Gulvoverflade_Genbrugs belægning og undergulv</v>
      </c>
      <c r="C163" s="284">
        <v>50</v>
      </c>
      <c r="D163" s="277">
        <v>0</v>
      </c>
      <c r="E163" s="277">
        <v>0</v>
      </c>
      <c r="F163" s="277">
        <v>0</v>
      </c>
      <c r="G163" s="277">
        <v>0</v>
      </c>
      <c r="H163" s="277">
        <v>0</v>
      </c>
      <c r="I163" s="277">
        <f>D163+G163+H163</f>
        <v>0</v>
      </c>
      <c r="J163" s="277">
        <v>0</v>
      </c>
      <c r="K163" s="276" t="s">
        <v>270</v>
      </c>
      <c r="L163" s="284">
        <v>1</v>
      </c>
      <c r="M163" s="272"/>
      <c r="N163" s="272"/>
      <c r="O163" s="277">
        <f t="shared" ref="O163" si="325">D163/L163</f>
        <v>0</v>
      </c>
      <c r="P163" s="277">
        <f t="shared" ref="P163" si="326">E163/L163</f>
        <v>0</v>
      </c>
      <c r="Q163" s="277">
        <f t="shared" ref="Q163" si="327">F163/L163</f>
        <v>0</v>
      </c>
      <c r="R163" s="277">
        <f t="shared" ref="R163" si="328">G163/L163</f>
        <v>0</v>
      </c>
      <c r="S163" s="277">
        <f t="shared" ref="S163" si="329">H163/L163</f>
        <v>0</v>
      </c>
      <c r="T163" s="277">
        <f t="shared" ref="T163" si="330">I163/L163</f>
        <v>0</v>
      </c>
      <c r="U163" s="277">
        <f t="shared" ref="U163" si="331">J163/L163</f>
        <v>0</v>
      </c>
      <c r="V163" s="272"/>
      <c r="W163" s="272" t="s">
        <v>1013</v>
      </c>
      <c r="X163" s="277">
        <f t="shared" ref="X163" si="332">T163</f>
        <v>0</v>
      </c>
      <c r="Y163" s="277"/>
      <c r="Z163" s="272"/>
      <c r="AA163" s="282"/>
      <c r="AB163" s="274"/>
      <c r="AC163" s="540">
        <f t="shared" si="323"/>
        <v>0</v>
      </c>
    </row>
    <row r="164" spans="2:29" x14ac:dyDescent="0.35">
      <c r="B164" s="272" t="str">
        <f t="shared" si="313"/>
        <v>Gulvoverflade_Brugerdefineret_1</v>
      </c>
      <c r="C164" s="652">
        <v>100</v>
      </c>
      <c r="D164" s="651">
        <v>0</v>
      </c>
      <c r="E164" s="651">
        <v>0</v>
      </c>
      <c r="F164" s="651">
        <v>0</v>
      </c>
      <c r="G164" s="651">
        <v>0</v>
      </c>
      <c r="H164" s="651">
        <v>0</v>
      </c>
      <c r="I164" s="651">
        <f t="shared" si="314"/>
        <v>0</v>
      </c>
      <c r="J164" s="651">
        <v>0</v>
      </c>
      <c r="K164" s="650" t="s">
        <v>288</v>
      </c>
      <c r="L164" s="650">
        <v>1</v>
      </c>
      <c r="M164" s="272"/>
      <c r="N164" s="272"/>
      <c r="O164" s="277">
        <f t="shared" si="315"/>
        <v>0</v>
      </c>
      <c r="P164" s="277">
        <f t="shared" si="316"/>
        <v>0</v>
      </c>
      <c r="Q164" s="277">
        <f t="shared" si="317"/>
        <v>0</v>
      </c>
      <c r="R164" s="277">
        <f t="shared" si="318"/>
        <v>0</v>
      </c>
      <c r="S164" s="277">
        <f t="shared" si="319"/>
        <v>0</v>
      </c>
      <c r="T164" s="277">
        <f t="shared" si="320"/>
        <v>0</v>
      </c>
      <c r="U164" s="277">
        <f t="shared" si="321"/>
        <v>0</v>
      </c>
      <c r="V164" s="272"/>
      <c r="W164" s="653" t="s">
        <v>280</v>
      </c>
      <c r="X164" s="277">
        <f t="shared" si="322"/>
        <v>0</v>
      </c>
      <c r="Y164" s="277"/>
      <c r="Z164" s="272"/>
      <c r="AA164" s="277"/>
      <c r="AB164" s="274"/>
      <c r="AC164" s="540">
        <f t="shared" si="323"/>
        <v>0</v>
      </c>
    </row>
    <row r="165" spans="2:29" x14ac:dyDescent="0.35">
      <c r="B165" s="272" t="str">
        <f t="shared" si="313"/>
        <v>Gulvoverflade_Brugerdefineret_2</v>
      </c>
      <c r="C165" s="652">
        <v>100</v>
      </c>
      <c r="D165" s="651">
        <v>0</v>
      </c>
      <c r="E165" s="651">
        <v>0</v>
      </c>
      <c r="F165" s="651">
        <v>0</v>
      </c>
      <c r="G165" s="651">
        <v>0</v>
      </c>
      <c r="H165" s="651">
        <v>0</v>
      </c>
      <c r="I165" s="651">
        <f t="shared" si="314"/>
        <v>0</v>
      </c>
      <c r="J165" s="651">
        <v>0</v>
      </c>
      <c r="K165" s="650" t="s">
        <v>288</v>
      </c>
      <c r="L165" s="650">
        <v>1</v>
      </c>
      <c r="M165" s="272"/>
      <c r="N165" s="272"/>
      <c r="O165" s="277">
        <f t="shared" si="315"/>
        <v>0</v>
      </c>
      <c r="P165" s="277">
        <f t="shared" si="316"/>
        <v>0</v>
      </c>
      <c r="Q165" s="277">
        <f t="shared" si="317"/>
        <v>0</v>
      </c>
      <c r="R165" s="277">
        <f t="shared" si="318"/>
        <v>0</v>
      </c>
      <c r="S165" s="277">
        <f t="shared" si="319"/>
        <v>0</v>
      </c>
      <c r="T165" s="277">
        <f t="shared" si="320"/>
        <v>0</v>
      </c>
      <c r="U165" s="277">
        <f t="shared" si="321"/>
        <v>0</v>
      </c>
      <c r="V165" s="272"/>
      <c r="W165" s="653" t="s">
        <v>281</v>
      </c>
      <c r="X165" s="277">
        <f t="shared" si="322"/>
        <v>0</v>
      </c>
      <c r="Y165" s="277"/>
      <c r="Z165" s="272"/>
      <c r="AA165" s="277"/>
      <c r="AB165" s="274"/>
      <c r="AC165" s="540">
        <f t="shared" si="323"/>
        <v>0</v>
      </c>
    </row>
    <row r="166" spans="2:29" x14ac:dyDescent="0.35">
      <c r="B166" s="272" t="str">
        <f t="shared" si="302"/>
        <v>Gulvoverflade_Brugerdefineret_3</v>
      </c>
      <c r="C166" s="652">
        <v>100</v>
      </c>
      <c r="D166" s="651">
        <v>0</v>
      </c>
      <c r="E166" s="651">
        <v>0</v>
      </c>
      <c r="F166" s="651">
        <v>0</v>
      </c>
      <c r="G166" s="651">
        <v>0</v>
      </c>
      <c r="H166" s="651">
        <v>0</v>
      </c>
      <c r="I166" s="651">
        <f t="shared" si="312"/>
        <v>0</v>
      </c>
      <c r="J166" s="651">
        <v>0</v>
      </c>
      <c r="K166" s="650" t="s">
        <v>288</v>
      </c>
      <c r="L166" s="650">
        <v>1</v>
      </c>
      <c r="M166" s="272"/>
      <c r="N166" s="272"/>
      <c r="O166" s="277">
        <f t="shared" si="303"/>
        <v>0</v>
      </c>
      <c r="P166" s="277">
        <f t="shared" si="304"/>
        <v>0</v>
      </c>
      <c r="Q166" s="277">
        <f t="shared" si="305"/>
        <v>0</v>
      </c>
      <c r="R166" s="277">
        <f t="shared" si="306"/>
        <v>0</v>
      </c>
      <c r="S166" s="277">
        <f t="shared" si="307"/>
        <v>0</v>
      </c>
      <c r="T166" s="277">
        <f t="shared" si="308"/>
        <v>0</v>
      </c>
      <c r="U166" s="277">
        <f t="shared" si="309"/>
        <v>0</v>
      </c>
      <c r="V166" s="272"/>
      <c r="W166" s="653" t="s">
        <v>282</v>
      </c>
      <c r="X166" s="277">
        <f t="shared" si="310"/>
        <v>0</v>
      </c>
      <c r="Y166" s="277"/>
      <c r="Z166" s="272"/>
      <c r="AA166" s="277"/>
      <c r="AB166" s="274"/>
      <c r="AC166" s="540">
        <f>I166</f>
        <v>0</v>
      </c>
    </row>
    <row r="167" spans="2:29" ht="23.5" x14ac:dyDescent="0.55000000000000004">
      <c r="B167" s="281" t="s">
        <v>37</v>
      </c>
      <c r="C167" s="276"/>
      <c r="D167" s="272"/>
      <c r="E167" s="272"/>
      <c r="F167" s="272"/>
      <c r="G167" s="272"/>
      <c r="H167" s="272"/>
      <c r="I167" s="277"/>
      <c r="J167" s="272"/>
      <c r="K167" s="272"/>
      <c r="L167" s="272"/>
      <c r="M167" s="272"/>
      <c r="N167" s="272"/>
      <c r="O167" s="272"/>
      <c r="P167" s="272"/>
      <c r="Q167" s="272"/>
      <c r="R167" s="272"/>
      <c r="S167" s="272"/>
      <c r="T167" s="272"/>
      <c r="U167" s="272"/>
      <c r="V167" s="272"/>
      <c r="W167" s="274" t="s">
        <v>302</v>
      </c>
      <c r="X167" s="275">
        <f t="shared" si="310"/>
        <v>0</v>
      </c>
      <c r="Y167" s="277"/>
      <c r="Z167" s="272"/>
      <c r="AA167" s="277"/>
      <c r="AB167" s="274"/>
      <c r="AC167" s="295"/>
    </row>
    <row r="168" spans="2:29" x14ac:dyDescent="0.35">
      <c r="B168" s="271"/>
      <c r="C168" s="268">
        <v>200</v>
      </c>
      <c r="D168" s="272"/>
      <c r="E168" s="272"/>
      <c r="F168" s="272"/>
      <c r="G168" s="272"/>
      <c r="H168" s="272"/>
      <c r="I168" s="277"/>
      <c r="J168" s="272"/>
      <c r="K168" s="272"/>
      <c r="L168" s="272"/>
      <c r="M168" s="272"/>
      <c r="N168" s="272"/>
      <c r="O168" s="272"/>
      <c r="P168" s="272"/>
      <c r="Q168" s="272"/>
      <c r="R168" s="272"/>
      <c r="S168" s="272"/>
      <c r="T168" s="272"/>
      <c r="U168" s="272"/>
      <c r="V168" s="272"/>
      <c r="W168" s="274" t="s">
        <v>103</v>
      </c>
      <c r="X168" s="275"/>
      <c r="Y168" s="277"/>
      <c r="Z168" s="272"/>
      <c r="AA168" s="277"/>
      <c r="AB168" s="274"/>
      <c r="AC168" s="560"/>
    </row>
    <row r="169" spans="2:29" x14ac:dyDescent="0.35">
      <c r="B169" s="272" t="str">
        <f t="shared" ref="B169:B176" si="333">$B$167&amp;"_"&amp;W169</f>
        <v>Vinduer_2 lags energirude med kold kant</v>
      </c>
      <c r="C169" s="276">
        <v>25</v>
      </c>
      <c r="D169" s="277">
        <v>73.989999999999995</v>
      </c>
      <c r="E169" s="277">
        <v>0</v>
      </c>
      <c r="F169" s="277">
        <v>0</v>
      </c>
      <c r="G169" s="277">
        <v>3.0350000000000001</v>
      </c>
      <c r="H169" s="277">
        <v>0.65480000000000005</v>
      </c>
      <c r="I169" s="277">
        <f t="shared" ref="I169:I171" si="334">D169+G169+H169</f>
        <v>77.679799999999986</v>
      </c>
      <c r="J169" s="277">
        <v>-1.405</v>
      </c>
      <c r="K169" s="276" t="s">
        <v>270</v>
      </c>
      <c r="L169" s="276"/>
      <c r="M169" s="272"/>
      <c r="N169" s="272"/>
      <c r="O169" s="272"/>
      <c r="P169" s="277"/>
      <c r="Q169" s="277"/>
      <c r="R169" s="277"/>
      <c r="S169" s="277"/>
      <c r="T169" s="277">
        <f t="shared" ref="T169:T170" si="335">X169</f>
        <v>77.679799999999986</v>
      </c>
      <c r="U169" s="277"/>
      <c r="V169" s="272"/>
      <c r="W169" s="272" t="s">
        <v>346</v>
      </c>
      <c r="X169" s="277">
        <f t="shared" ref="X169:X170" si="336">I169</f>
        <v>77.679799999999986</v>
      </c>
      <c r="Y169" s="277"/>
      <c r="Z169" s="272"/>
      <c r="AA169" s="277"/>
      <c r="AB169" s="274"/>
      <c r="AC169" s="560"/>
    </row>
    <row r="170" spans="2:29" x14ac:dyDescent="0.35">
      <c r="B170" s="272" t="str">
        <f t="shared" si="333"/>
        <v>Vinduer_2 lags energirude med varm kant</v>
      </c>
      <c r="C170" s="276">
        <v>25</v>
      </c>
      <c r="D170" s="277">
        <v>73.989999999999995</v>
      </c>
      <c r="E170" s="277">
        <v>0</v>
      </c>
      <c r="F170" s="277">
        <v>0</v>
      </c>
      <c r="G170" s="277">
        <v>3.0350000000000001</v>
      </c>
      <c r="H170" s="277">
        <v>0.65480000000000005</v>
      </c>
      <c r="I170" s="277">
        <f t="shared" si="334"/>
        <v>77.679799999999986</v>
      </c>
      <c r="J170" s="277">
        <v>-1.405</v>
      </c>
      <c r="K170" s="276" t="s">
        <v>270</v>
      </c>
      <c r="L170" s="276"/>
      <c r="M170" s="272"/>
      <c r="N170" s="272"/>
      <c r="O170" s="272"/>
      <c r="P170" s="277"/>
      <c r="Q170" s="277"/>
      <c r="R170" s="277"/>
      <c r="S170" s="277"/>
      <c r="T170" s="277">
        <f t="shared" si="335"/>
        <v>77.679799999999986</v>
      </c>
      <c r="U170" s="277"/>
      <c r="V170" s="272"/>
      <c r="W170" s="272" t="s">
        <v>347</v>
      </c>
      <c r="X170" s="277">
        <f t="shared" si="336"/>
        <v>77.679799999999986</v>
      </c>
      <c r="Y170" s="277"/>
      <c r="Z170" s="272"/>
      <c r="AA170" s="277"/>
      <c r="AB170" s="274"/>
      <c r="AC170" s="295"/>
    </row>
    <row r="171" spans="2:29" ht="13.5" customHeight="1" x14ac:dyDescent="0.35">
      <c r="B171" s="272" t="str">
        <f t="shared" si="333"/>
        <v>Vinduer_3 lags energirude</v>
      </c>
      <c r="C171" s="276">
        <v>25</v>
      </c>
      <c r="D171" s="277">
        <f>115.5</f>
        <v>115.5</v>
      </c>
      <c r="E171" s="277">
        <v>0</v>
      </c>
      <c r="F171" s="277">
        <v>0</v>
      </c>
      <c r="G171" s="277">
        <v>6.07</v>
      </c>
      <c r="H171" s="277">
        <v>0.98219999999999996</v>
      </c>
      <c r="I171" s="277">
        <f t="shared" si="334"/>
        <v>122.5522</v>
      </c>
      <c r="J171" s="277">
        <v>-2.8109999999999999</v>
      </c>
      <c r="K171" s="276" t="s">
        <v>270</v>
      </c>
      <c r="L171" s="276"/>
      <c r="M171" s="272"/>
      <c r="N171" s="272"/>
      <c r="O171" s="272"/>
      <c r="P171" s="277"/>
      <c r="Q171" s="277"/>
      <c r="R171" s="277"/>
      <c r="S171" s="277"/>
      <c r="T171" s="277">
        <f>X171</f>
        <v>122.5522</v>
      </c>
      <c r="U171" s="277"/>
      <c r="V171" s="272"/>
      <c r="W171" s="272" t="s">
        <v>348</v>
      </c>
      <c r="X171" s="277">
        <f>I171</f>
        <v>122.5522</v>
      </c>
      <c r="Y171" s="277"/>
      <c r="Z171" s="272"/>
      <c r="AA171" s="277"/>
      <c r="AB171" s="274"/>
      <c r="AC171" s="295"/>
    </row>
    <row r="172" spans="2:29" ht="13.5" customHeight="1" x14ac:dyDescent="0.35">
      <c r="B172" s="272" t="str">
        <f t="shared" ref="B172" si="337">$B$167&amp;"_"&amp;W172</f>
        <v>Vinduer_Genbrugs vinduer</v>
      </c>
      <c r="C172" s="276">
        <v>25</v>
      </c>
      <c r="D172" s="277">
        <v>0</v>
      </c>
      <c r="E172" s="277">
        <v>0</v>
      </c>
      <c r="F172" s="277">
        <v>0</v>
      </c>
      <c r="G172" s="277">
        <v>0</v>
      </c>
      <c r="H172" s="277">
        <v>0</v>
      </c>
      <c r="I172" s="277">
        <f t="shared" ref="I172" si="338">D172+G172+H172</f>
        <v>0</v>
      </c>
      <c r="J172" s="277">
        <v>0</v>
      </c>
      <c r="K172" s="276" t="s">
        <v>270</v>
      </c>
      <c r="L172" s="276"/>
      <c r="M172" s="272"/>
      <c r="N172" s="272"/>
      <c r="O172" s="272"/>
      <c r="P172" s="277"/>
      <c r="Q172" s="277"/>
      <c r="R172" s="277"/>
      <c r="S172" s="277"/>
      <c r="T172" s="277">
        <f>X172</f>
        <v>0</v>
      </c>
      <c r="U172" s="277"/>
      <c r="V172" s="272"/>
      <c r="W172" s="272" t="s">
        <v>1014</v>
      </c>
      <c r="X172" s="277">
        <f>I172</f>
        <v>0</v>
      </c>
      <c r="Y172" s="277"/>
      <c r="Z172" s="272"/>
      <c r="AA172" s="277"/>
      <c r="AB172" s="274"/>
      <c r="AC172" s="295"/>
    </row>
    <row r="173" spans="2:29" ht="13.5" customHeight="1" x14ac:dyDescent="0.35">
      <c r="B173" s="272" t="str">
        <f t="shared" si="333"/>
        <v>Vinduer_Brugerdefineret_1</v>
      </c>
      <c r="C173" s="650">
        <v>25</v>
      </c>
      <c r="D173" s="651">
        <v>0</v>
      </c>
      <c r="E173" s="651">
        <v>0</v>
      </c>
      <c r="F173" s="651">
        <v>0</v>
      </c>
      <c r="G173" s="651">
        <v>0</v>
      </c>
      <c r="H173" s="651">
        <v>0</v>
      </c>
      <c r="I173" s="651">
        <f t="shared" ref="I173:I175" si="339">D173+G173+H173</f>
        <v>0</v>
      </c>
      <c r="J173" s="651">
        <v>0</v>
      </c>
      <c r="K173" s="650" t="s">
        <v>288</v>
      </c>
      <c r="L173" s="276"/>
      <c r="M173" s="272"/>
      <c r="N173" s="272"/>
      <c r="O173" s="272"/>
      <c r="P173" s="277"/>
      <c r="Q173" s="277"/>
      <c r="R173" s="277"/>
      <c r="S173" s="277"/>
      <c r="T173" s="277">
        <f t="shared" ref="T173:T176" si="340">X173</f>
        <v>0</v>
      </c>
      <c r="U173" s="277"/>
      <c r="V173" s="272"/>
      <c r="W173" s="653" t="s">
        <v>280</v>
      </c>
      <c r="X173" s="277">
        <f t="shared" ref="X173:X175" si="341">I173</f>
        <v>0</v>
      </c>
      <c r="Y173" s="277"/>
      <c r="Z173" s="272"/>
      <c r="AA173" s="277"/>
      <c r="AB173" s="274"/>
      <c r="AC173" s="295"/>
    </row>
    <row r="174" spans="2:29" ht="13.5" customHeight="1" x14ac:dyDescent="0.35">
      <c r="B174" s="272" t="str">
        <f t="shared" si="333"/>
        <v>Vinduer_Brugerdefineret_2</v>
      </c>
      <c r="C174" s="650">
        <v>25</v>
      </c>
      <c r="D174" s="651">
        <v>0</v>
      </c>
      <c r="E174" s="651">
        <v>0</v>
      </c>
      <c r="F174" s="651">
        <v>0</v>
      </c>
      <c r="G174" s="651">
        <v>0</v>
      </c>
      <c r="H174" s="651">
        <v>0</v>
      </c>
      <c r="I174" s="651">
        <f t="shared" si="339"/>
        <v>0</v>
      </c>
      <c r="J174" s="651">
        <v>0</v>
      </c>
      <c r="K174" s="650" t="s">
        <v>288</v>
      </c>
      <c r="L174" s="276"/>
      <c r="M174" s="272"/>
      <c r="N174" s="272"/>
      <c r="O174" s="272"/>
      <c r="P174" s="277"/>
      <c r="Q174" s="277"/>
      <c r="R174" s="277"/>
      <c r="S174" s="277"/>
      <c r="T174" s="277">
        <f t="shared" si="340"/>
        <v>0</v>
      </c>
      <c r="U174" s="277"/>
      <c r="V174" s="272"/>
      <c r="W174" s="653" t="s">
        <v>281</v>
      </c>
      <c r="X174" s="277">
        <f t="shared" si="341"/>
        <v>0</v>
      </c>
      <c r="Y174" s="277"/>
      <c r="Z174" s="272"/>
      <c r="AA174" s="277"/>
      <c r="AB174" s="274"/>
      <c r="AC174" s="295"/>
    </row>
    <row r="175" spans="2:29" x14ac:dyDescent="0.35">
      <c r="B175" s="272" t="str">
        <f t="shared" si="333"/>
        <v>Vinduer_Brugerdefineret_3</v>
      </c>
      <c r="C175" s="650">
        <v>25</v>
      </c>
      <c r="D175" s="651">
        <v>0</v>
      </c>
      <c r="E175" s="651">
        <v>0</v>
      </c>
      <c r="F175" s="651">
        <v>0</v>
      </c>
      <c r="G175" s="651">
        <v>0</v>
      </c>
      <c r="H175" s="651">
        <v>0</v>
      </c>
      <c r="I175" s="651">
        <f t="shared" si="339"/>
        <v>0</v>
      </c>
      <c r="J175" s="651">
        <v>0</v>
      </c>
      <c r="K175" s="650" t="s">
        <v>288</v>
      </c>
      <c r="L175" s="272"/>
      <c r="M175" s="276"/>
      <c r="N175" s="272"/>
      <c r="O175" s="272"/>
      <c r="P175" s="272"/>
      <c r="Q175" s="272"/>
      <c r="R175" s="272"/>
      <c r="S175" s="272"/>
      <c r="T175" s="277">
        <f t="shared" si="340"/>
        <v>0</v>
      </c>
      <c r="U175" s="272"/>
      <c r="V175" s="272"/>
      <c r="W175" s="653" t="s">
        <v>282</v>
      </c>
      <c r="X175" s="277">
        <f t="shared" si="341"/>
        <v>0</v>
      </c>
      <c r="Y175" s="277"/>
      <c r="Z175" s="272"/>
      <c r="AA175" s="277"/>
      <c r="AB175" s="274"/>
      <c r="AC175" s="295"/>
    </row>
    <row r="176" spans="2:29" x14ac:dyDescent="0.35">
      <c r="B176" s="274" t="str">
        <f t="shared" si="333"/>
        <v>Vinduer_Angiv ikke</v>
      </c>
      <c r="C176" s="274">
        <v>200</v>
      </c>
      <c r="D176" s="272"/>
      <c r="E176" s="272"/>
      <c r="F176" s="272"/>
      <c r="G176" s="272"/>
      <c r="H176" s="272"/>
      <c r="I176" s="277"/>
      <c r="J176" s="272"/>
      <c r="K176" s="272"/>
      <c r="L176" s="276"/>
      <c r="M176" s="272"/>
      <c r="N176" s="272"/>
      <c r="O176" s="277"/>
      <c r="P176" s="277"/>
      <c r="Q176" s="277"/>
      <c r="R176" s="277"/>
      <c r="S176" s="277"/>
      <c r="T176" s="275">
        <f t="shared" si="340"/>
        <v>0</v>
      </c>
      <c r="U176" s="277"/>
      <c r="V176" s="272"/>
      <c r="W176" s="274" t="s">
        <v>103</v>
      </c>
      <c r="X176" s="275">
        <f>T177</f>
        <v>0</v>
      </c>
      <c r="Y176" s="277"/>
      <c r="Z176" s="272"/>
      <c r="AA176" s="277"/>
      <c r="AB176" s="274"/>
      <c r="AC176" s="295"/>
    </row>
    <row r="177" spans="2:29" ht="23.5" x14ac:dyDescent="0.55000000000000004">
      <c r="B177" s="281" t="s">
        <v>121</v>
      </c>
      <c r="C177" s="268">
        <v>200</v>
      </c>
      <c r="D177" s="268" t="s">
        <v>349</v>
      </c>
      <c r="E177" s="268" t="s">
        <v>349</v>
      </c>
      <c r="F177" s="268" t="s">
        <v>349</v>
      </c>
      <c r="G177" s="268" t="s">
        <v>349</v>
      </c>
      <c r="H177" s="268" t="s">
        <v>349</v>
      </c>
      <c r="I177" s="277"/>
      <c r="J177" s="268" t="s">
        <v>349</v>
      </c>
      <c r="K177" s="276"/>
      <c r="L177" s="276"/>
      <c r="M177" s="272"/>
      <c r="N177" s="272"/>
      <c r="O177" s="272"/>
      <c r="P177" s="272"/>
      <c r="Q177" s="272"/>
      <c r="R177" s="272"/>
      <c r="S177" s="272"/>
      <c r="T177" s="272"/>
      <c r="U177" s="272"/>
      <c r="V177" s="272"/>
      <c r="W177" s="274" t="s">
        <v>103</v>
      </c>
      <c r="X177" s="275"/>
      <c r="Y177" s="277"/>
      <c r="Z177" s="272"/>
      <c r="AA177" s="277"/>
      <c r="AB177" s="274"/>
      <c r="AC177" s="295"/>
    </row>
    <row r="178" spans="2:29" x14ac:dyDescent="0.35">
      <c r="B178" s="272" t="str">
        <f t="shared" ref="B178:B185" si="342">$B$177&amp;"_"&amp;W178</f>
        <v>Karmtype_Træ/alu</v>
      </c>
      <c r="C178" s="276">
        <v>50</v>
      </c>
      <c r="D178" s="536">
        <v>34.090000000000003</v>
      </c>
      <c r="E178" s="536">
        <v>0</v>
      </c>
      <c r="F178" s="536">
        <v>0</v>
      </c>
      <c r="G178" s="536">
        <v>27.07</v>
      </c>
      <c r="H178" s="536">
        <v>3.26</v>
      </c>
      <c r="I178" s="277">
        <f>D178+G178+H178</f>
        <v>64.42</v>
      </c>
      <c r="J178" s="536">
        <v>-30.86</v>
      </c>
      <c r="K178" s="276" t="s">
        <v>270</v>
      </c>
      <c r="L178" s="272"/>
      <c r="M178" s="272"/>
      <c r="N178" s="272"/>
      <c r="O178" s="272"/>
      <c r="P178" s="272"/>
      <c r="Q178" s="272"/>
      <c r="R178" s="272"/>
      <c r="S178" s="272"/>
      <c r="T178" s="277">
        <f t="shared" ref="T178:T181" si="343">I178</f>
        <v>64.42</v>
      </c>
      <c r="U178" s="272"/>
      <c r="V178" s="272"/>
      <c r="W178" s="272" t="s">
        <v>350</v>
      </c>
      <c r="X178" s="277">
        <f t="shared" ref="X178:X181" si="344">T178</f>
        <v>64.42</v>
      </c>
      <c r="Y178" s="277">
        <f>6.06+5.82</f>
        <v>11.879999999999999</v>
      </c>
      <c r="Z178" s="277" t="s">
        <v>863</v>
      </c>
      <c r="AA178" s="282"/>
      <c r="AB178" s="274"/>
      <c r="AC178" s="295"/>
    </row>
    <row r="179" spans="2:29" x14ac:dyDescent="0.35">
      <c r="B179" s="272" t="str">
        <f t="shared" si="342"/>
        <v>Karmtype_Træ</v>
      </c>
      <c r="C179" s="276">
        <v>50</v>
      </c>
      <c r="D179" s="536">
        <v>6.35</v>
      </c>
      <c r="E179" s="536">
        <v>0</v>
      </c>
      <c r="F179" s="536">
        <v>0</v>
      </c>
      <c r="G179" s="649">
        <v>25.99</v>
      </c>
      <c r="H179" s="536">
        <v>3.26</v>
      </c>
      <c r="I179" s="277">
        <f t="shared" ref="I179:I181" si="345">D179+G179+H179</f>
        <v>35.599999999999994</v>
      </c>
      <c r="J179" s="536">
        <v>-14.01</v>
      </c>
      <c r="K179" s="276" t="s">
        <v>270</v>
      </c>
      <c r="L179" s="272"/>
      <c r="M179" s="272"/>
      <c r="N179" s="272"/>
      <c r="O179" s="272"/>
      <c r="P179" s="272"/>
      <c r="Q179" s="272"/>
      <c r="R179" s="272"/>
      <c r="S179" s="272"/>
      <c r="T179" s="277">
        <f t="shared" si="343"/>
        <v>35.599999999999994</v>
      </c>
      <c r="U179" s="272"/>
      <c r="V179" s="272"/>
      <c r="W179" s="272" t="s">
        <v>351</v>
      </c>
      <c r="X179" s="277">
        <f t="shared" si="344"/>
        <v>35.599999999999994</v>
      </c>
      <c r="Y179" s="277">
        <f>6.06+5.82</f>
        <v>11.879999999999999</v>
      </c>
      <c r="Z179" s="277" t="s">
        <v>863</v>
      </c>
      <c r="AA179" s="277"/>
      <c r="AB179" s="274"/>
      <c r="AC179" s="295"/>
    </row>
    <row r="180" spans="2:29" x14ac:dyDescent="0.35">
      <c r="B180" s="272" t="str">
        <f t="shared" si="342"/>
        <v>Karmtype_Aluminium</v>
      </c>
      <c r="C180" s="276">
        <v>50</v>
      </c>
      <c r="D180" s="536">
        <v>130.21</v>
      </c>
      <c r="E180" s="536">
        <v>0</v>
      </c>
      <c r="F180" s="536">
        <v>0</v>
      </c>
      <c r="G180" s="536">
        <v>6.88</v>
      </c>
      <c r="H180" s="536">
        <v>3.26</v>
      </c>
      <c r="I180" s="277">
        <f t="shared" si="345"/>
        <v>140.35</v>
      </c>
      <c r="J180" s="536">
        <v>-60.98</v>
      </c>
      <c r="K180" s="276" t="s">
        <v>270</v>
      </c>
      <c r="L180" s="272"/>
      <c r="M180" s="272"/>
      <c r="N180" s="272"/>
      <c r="O180" s="272"/>
      <c r="P180" s="272"/>
      <c r="Q180" s="272"/>
      <c r="R180" s="272"/>
      <c r="S180" s="272"/>
      <c r="T180" s="277">
        <f t="shared" si="343"/>
        <v>140.35</v>
      </c>
      <c r="U180" s="272"/>
      <c r="V180" s="272"/>
      <c r="W180" s="272" t="s">
        <v>275</v>
      </c>
      <c r="X180" s="277">
        <f t="shared" si="344"/>
        <v>140.35</v>
      </c>
      <c r="Y180" s="277"/>
      <c r="Z180" s="277"/>
      <c r="AA180" s="277"/>
      <c r="AB180" s="274"/>
      <c r="AC180" s="295"/>
    </row>
    <row r="181" spans="2:29" x14ac:dyDescent="0.35">
      <c r="B181" s="272" t="str">
        <f t="shared" si="342"/>
        <v>Karmtype_Plastik</v>
      </c>
      <c r="C181" s="276">
        <v>50</v>
      </c>
      <c r="D181" s="536">
        <v>57.01</v>
      </c>
      <c r="E181" s="536">
        <v>0</v>
      </c>
      <c r="F181" s="536">
        <v>0</v>
      </c>
      <c r="G181" s="536">
        <v>27.81</v>
      </c>
      <c r="H181" s="536">
        <v>3.26</v>
      </c>
      <c r="I181" s="277">
        <f t="shared" si="345"/>
        <v>88.08</v>
      </c>
      <c r="J181" s="536">
        <v>-23.64</v>
      </c>
      <c r="K181" s="276" t="s">
        <v>270</v>
      </c>
      <c r="L181" s="272"/>
      <c r="M181" s="272"/>
      <c r="N181" s="272"/>
      <c r="O181" s="272"/>
      <c r="P181" s="272"/>
      <c r="Q181" s="272"/>
      <c r="R181" s="272"/>
      <c r="S181" s="272"/>
      <c r="T181" s="277">
        <f t="shared" si="343"/>
        <v>88.08</v>
      </c>
      <c r="U181" s="272"/>
      <c r="V181" s="272"/>
      <c r="W181" s="272" t="s">
        <v>352</v>
      </c>
      <c r="X181" s="277">
        <f t="shared" si="344"/>
        <v>88.08</v>
      </c>
      <c r="Y181" s="277"/>
      <c r="Z181" s="277"/>
      <c r="AA181" s="277"/>
      <c r="AB181" s="274"/>
      <c r="AC181" s="295"/>
    </row>
    <row r="182" spans="2:29" x14ac:dyDescent="0.35">
      <c r="B182" s="272" t="str">
        <f t="shared" ref="B182" si="346">$B$177&amp;"_"&amp;W182</f>
        <v>Karmtype_Genbrugs karm</v>
      </c>
      <c r="C182" s="276">
        <v>50</v>
      </c>
      <c r="D182" s="536">
        <v>0</v>
      </c>
      <c r="E182" s="536">
        <v>0</v>
      </c>
      <c r="F182" s="536">
        <v>0</v>
      </c>
      <c r="G182" s="536">
        <v>0</v>
      </c>
      <c r="H182" s="536">
        <v>0</v>
      </c>
      <c r="I182" s="277">
        <f t="shared" ref="I182" si="347">D182+G182+H182</f>
        <v>0</v>
      </c>
      <c r="J182" s="536">
        <v>0</v>
      </c>
      <c r="K182" s="276" t="s">
        <v>270</v>
      </c>
      <c r="L182" s="272"/>
      <c r="M182" s="272"/>
      <c r="N182" s="272"/>
      <c r="O182" s="272"/>
      <c r="P182" s="272"/>
      <c r="Q182" s="272"/>
      <c r="R182" s="272"/>
      <c r="S182" s="272"/>
      <c r="T182" s="277">
        <f t="shared" ref="T182" si="348">I182</f>
        <v>0</v>
      </c>
      <c r="U182" s="272"/>
      <c r="V182" s="272"/>
      <c r="W182" s="272" t="s">
        <v>1015</v>
      </c>
      <c r="X182" s="277">
        <f t="shared" ref="X182" si="349">T182</f>
        <v>0</v>
      </c>
      <c r="Y182" s="277"/>
      <c r="Z182" s="277"/>
      <c r="AA182" s="277"/>
      <c r="AB182" s="274"/>
      <c r="AC182" s="560"/>
    </row>
    <row r="183" spans="2:29" x14ac:dyDescent="0.35">
      <c r="B183" s="272" t="str">
        <f t="shared" si="342"/>
        <v>Karmtype_Brugerdefineret_1</v>
      </c>
      <c r="C183" s="650">
        <v>50</v>
      </c>
      <c r="D183" s="651">
        <v>0</v>
      </c>
      <c r="E183" s="651">
        <v>0</v>
      </c>
      <c r="F183" s="651">
        <v>0</v>
      </c>
      <c r="G183" s="651">
        <v>0</v>
      </c>
      <c r="H183" s="651">
        <v>0</v>
      </c>
      <c r="I183" s="651">
        <f t="shared" ref="I183:I185" si="350">D183+G183+H183</f>
        <v>0</v>
      </c>
      <c r="J183" s="651">
        <v>0</v>
      </c>
      <c r="K183" s="650" t="s">
        <v>288</v>
      </c>
      <c r="L183" s="272"/>
      <c r="M183" s="272"/>
      <c r="N183" s="272"/>
      <c r="O183" s="272"/>
      <c r="P183" s="272"/>
      <c r="Q183" s="272"/>
      <c r="R183" s="272"/>
      <c r="S183" s="272"/>
      <c r="T183" s="277">
        <f t="shared" ref="T183:T185" si="351">I183</f>
        <v>0</v>
      </c>
      <c r="U183" s="272"/>
      <c r="V183" s="272"/>
      <c r="W183" s="653" t="s">
        <v>280</v>
      </c>
      <c r="X183" s="277">
        <f t="shared" ref="X183:X186" si="352">T183</f>
        <v>0</v>
      </c>
      <c r="Y183" s="277"/>
      <c r="Z183" s="272"/>
      <c r="AA183" s="277"/>
      <c r="AB183" s="274"/>
      <c r="AC183" s="560"/>
    </row>
    <row r="184" spans="2:29" x14ac:dyDescent="0.35">
      <c r="B184" s="272" t="str">
        <f t="shared" ref="B184" si="353">$B$177&amp;"_"&amp;W184</f>
        <v>Karmtype_Brugerdefineret_2</v>
      </c>
      <c r="C184" s="650">
        <v>50</v>
      </c>
      <c r="D184" s="651">
        <v>0</v>
      </c>
      <c r="E184" s="651">
        <v>0</v>
      </c>
      <c r="F184" s="651">
        <v>0</v>
      </c>
      <c r="G184" s="651">
        <v>0</v>
      </c>
      <c r="H184" s="651">
        <v>0</v>
      </c>
      <c r="I184" s="651">
        <f t="shared" ref="I184" si="354">D184+G184+H184</f>
        <v>0</v>
      </c>
      <c r="J184" s="651">
        <v>0</v>
      </c>
      <c r="K184" s="650" t="s">
        <v>288</v>
      </c>
      <c r="L184" s="272"/>
      <c r="M184" s="272"/>
      <c r="N184" s="272"/>
      <c r="O184" s="272"/>
      <c r="P184" s="272"/>
      <c r="Q184" s="272"/>
      <c r="R184" s="272"/>
      <c r="S184" s="272"/>
      <c r="T184" s="277">
        <f t="shared" ref="T184" si="355">I184</f>
        <v>0</v>
      </c>
      <c r="U184" s="272"/>
      <c r="V184" s="272"/>
      <c r="W184" s="653" t="s">
        <v>281</v>
      </c>
      <c r="X184" s="277">
        <f t="shared" ref="X184" si="356">T184</f>
        <v>0</v>
      </c>
      <c r="Y184" s="277"/>
      <c r="Z184" s="272"/>
      <c r="AA184" s="277"/>
      <c r="AB184" s="274"/>
      <c r="AC184" s="560"/>
    </row>
    <row r="185" spans="2:29" x14ac:dyDescent="0.35">
      <c r="B185" s="272" t="str">
        <f t="shared" si="342"/>
        <v>Karmtype_Brugerdefineret_3</v>
      </c>
      <c r="C185" s="650">
        <v>50</v>
      </c>
      <c r="D185" s="651">
        <v>0</v>
      </c>
      <c r="E185" s="651">
        <v>0</v>
      </c>
      <c r="F185" s="651">
        <v>0</v>
      </c>
      <c r="G185" s="651">
        <v>0</v>
      </c>
      <c r="H185" s="651">
        <v>0</v>
      </c>
      <c r="I185" s="651">
        <f t="shared" si="350"/>
        <v>0</v>
      </c>
      <c r="J185" s="651">
        <v>0</v>
      </c>
      <c r="K185" s="650" t="s">
        <v>288</v>
      </c>
      <c r="L185" s="272"/>
      <c r="M185" s="272"/>
      <c r="N185" s="272"/>
      <c r="O185" s="272"/>
      <c r="P185" s="272"/>
      <c r="Q185" s="272"/>
      <c r="R185" s="272"/>
      <c r="S185" s="272"/>
      <c r="T185" s="277">
        <f t="shared" si="351"/>
        <v>0</v>
      </c>
      <c r="U185" s="272"/>
      <c r="V185" s="272"/>
      <c r="W185" s="653" t="s">
        <v>282</v>
      </c>
      <c r="X185" s="277">
        <f t="shared" si="352"/>
        <v>0</v>
      </c>
      <c r="Y185" s="277"/>
      <c r="Z185" s="272"/>
      <c r="AA185" s="277"/>
      <c r="AB185" s="274"/>
      <c r="AC185" s="295"/>
    </row>
    <row r="186" spans="2:29" ht="23.5" hidden="1" x14ac:dyDescent="0.55000000000000004">
      <c r="B186" s="281" t="s">
        <v>353</v>
      </c>
      <c r="C186" s="276"/>
      <c r="D186" s="272"/>
      <c r="E186" s="272"/>
      <c r="F186" s="272"/>
      <c r="G186" s="272"/>
      <c r="H186" s="272"/>
      <c r="I186" s="277"/>
      <c r="J186" s="272"/>
      <c r="K186" s="272"/>
      <c r="L186" s="272"/>
      <c r="M186" s="272"/>
      <c r="N186" s="272"/>
      <c r="O186" s="272"/>
      <c r="P186" s="272"/>
      <c r="Q186" s="272"/>
      <c r="R186" s="272"/>
      <c r="S186" s="272"/>
      <c r="T186" s="272"/>
      <c r="U186" s="272"/>
      <c r="V186" s="272"/>
      <c r="W186" s="274" t="s">
        <v>302</v>
      </c>
      <c r="X186" s="275">
        <f t="shared" si="352"/>
        <v>0</v>
      </c>
      <c r="Y186" s="277"/>
      <c r="Z186" s="272"/>
      <c r="AA186" s="277"/>
      <c r="AB186" s="274"/>
      <c r="AC186" s="295"/>
    </row>
    <row r="187" spans="2:29" hidden="1" x14ac:dyDescent="0.35">
      <c r="B187" s="271"/>
      <c r="C187" s="268">
        <v>200</v>
      </c>
      <c r="D187" s="272"/>
      <c r="E187" s="272"/>
      <c r="F187" s="272"/>
      <c r="G187" s="272"/>
      <c r="H187" s="272"/>
      <c r="I187" s="277"/>
      <c r="J187" s="272"/>
      <c r="K187" s="272"/>
      <c r="L187" s="272"/>
      <c r="M187" s="272"/>
      <c r="N187" s="272"/>
      <c r="O187" s="272"/>
      <c r="P187" s="272"/>
      <c r="Q187" s="272"/>
      <c r="R187" s="272"/>
      <c r="S187" s="272"/>
      <c r="T187" s="272"/>
      <c r="U187" s="272"/>
      <c r="V187" s="272"/>
      <c r="W187" s="274" t="s">
        <v>103</v>
      </c>
      <c r="X187" s="275"/>
      <c r="Y187" s="277"/>
      <c r="Z187" s="272"/>
      <c r="AA187" s="277"/>
      <c r="AB187" s="274"/>
      <c r="AC187" s="295"/>
    </row>
    <row r="188" spans="2:29" hidden="1" x14ac:dyDescent="0.35">
      <c r="B188" s="272" t="str">
        <f t="shared" ref="B188:B195" si="357">$B$186&amp;"_"&amp;W188</f>
        <v>Tunge skillevægge_Porebeton</v>
      </c>
      <c r="C188" s="332">
        <v>100</v>
      </c>
      <c r="D188" s="333">
        <v>28.659322807017539</v>
      </c>
      <c r="E188" s="333">
        <v>0</v>
      </c>
      <c r="F188" s="333">
        <v>0</v>
      </c>
      <c r="G188" s="333">
        <v>0.38673289473684208</v>
      </c>
      <c r="H188" s="333">
        <v>7.2026666666666669E-2</v>
      </c>
      <c r="I188" s="277">
        <f t="shared" ref="I188:I195" si="358">D188+G188+H188</f>
        <v>29.118082368421046</v>
      </c>
      <c r="J188" s="333">
        <v>-0.1181039407894737</v>
      </c>
      <c r="K188" s="333" t="s">
        <v>270</v>
      </c>
      <c r="L188" s="332">
        <v>100</v>
      </c>
      <c r="M188" s="272"/>
      <c r="N188" s="272"/>
      <c r="O188" s="277">
        <f t="shared" ref="O188:O195" si="359">D188/L188</f>
        <v>0.2865932280701754</v>
      </c>
      <c r="P188" s="277">
        <f t="shared" ref="P188:P195" si="360">E188/L188</f>
        <v>0</v>
      </c>
      <c r="Q188" s="277">
        <f t="shared" ref="Q188:Q195" si="361">F188/L188</f>
        <v>0</v>
      </c>
      <c r="R188" s="277">
        <f t="shared" ref="R188:R195" si="362">G188/L188</f>
        <v>3.8673289473684209E-3</v>
      </c>
      <c r="S188" s="277">
        <f t="shared" ref="S188:S195" si="363">H188/L188</f>
        <v>7.2026666666666665E-4</v>
      </c>
      <c r="T188" s="277">
        <f t="shared" ref="T188:T195" si="364">I188/L188</f>
        <v>0.29118082368421044</v>
      </c>
      <c r="U188" s="277">
        <f t="shared" ref="U188:U195" si="365">J188/L188</f>
        <v>-1.1810394078947369E-3</v>
      </c>
      <c r="V188" s="272"/>
      <c r="W188" s="272" t="s">
        <v>300</v>
      </c>
      <c r="X188" s="277">
        <f t="shared" ref="X188:X196" si="366">T188</f>
        <v>0.29118082368421044</v>
      </c>
      <c r="Y188" s="277"/>
      <c r="Z188" s="272"/>
      <c r="AA188" s="277"/>
      <c r="AB188" s="274"/>
      <c r="AC188" s="295"/>
    </row>
    <row r="189" spans="2:29" hidden="1" x14ac:dyDescent="0.35">
      <c r="B189" s="272" t="str">
        <f t="shared" si="357"/>
        <v>Tunge skillevægge_Teglblokke</v>
      </c>
      <c r="C189" s="332">
        <v>100</v>
      </c>
      <c r="D189" s="333">
        <v>28.342666640000001</v>
      </c>
      <c r="E189" s="333">
        <v>0</v>
      </c>
      <c r="F189" s="333">
        <v>0</v>
      </c>
      <c r="G189" s="333">
        <v>0.6603500000000001</v>
      </c>
      <c r="H189" s="333">
        <v>9.0360743999999993E-2</v>
      </c>
      <c r="I189" s="277">
        <f t="shared" si="358"/>
        <v>29.093377384000004</v>
      </c>
      <c r="J189" s="333">
        <v>-0.20061947999999999</v>
      </c>
      <c r="K189" s="333" t="s">
        <v>270</v>
      </c>
      <c r="L189" s="332">
        <v>115</v>
      </c>
      <c r="M189" s="272"/>
      <c r="N189" s="272"/>
      <c r="O189" s="277">
        <f t="shared" si="359"/>
        <v>0.2464579707826087</v>
      </c>
      <c r="P189" s="277">
        <f t="shared" si="360"/>
        <v>0</v>
      </c>
      <c r="Q189" s="277">
        <f t="shared" si="361"/>
        <v>0</v>
      </c>
      <c r="R189" s="277">
        <f t="shared" si="362"/>
        <v>5.7421739130434791E-3</v>
      </c>
      <c r="S189" s="277">
        <f t="shared" si="363"/>
        <v>7.857455999999999E-4</v>
      </c>
      <c r="T189" s="277">
        <f t="shared" si="364"/>
        <v>0.25298589029565222</v>
      </c>
      <c r="U189" s="277">
        <f t="shared" si="365"/>
        <v>-1.7445172173913043E-3</v>
      </c>
      <c r="V189" s="272"/>
      <c r="W189" s="272" t="s">
        <v>354</v>
      </c>
      <c r="X189" s="277">
        <f t="shared" si="366"/>
        <v>0.25298589029565222</v>
      </c>
      <c r="Y189" s="277"/>
      <c r="Z189" s="272"/>
      <c r="AA189" s="277"/>
      <c r="AB189" s="274"/>
      <c r="AC189" s="295"/>
    </row>
    <row r="190" spans="2:29" hidden="1" x14ac:dyDescent="0.35">
      <c r="B190" s="272" t="str">
        <f t="shared" si="357"/>
        <v>Tunge skillevægge_Teglsten</v>
      </c>
      <c r="C190" s="332">
        <v>100</v>
      </c>
      <c r="D190" s="333">
        <v>61.280127072000013</v>
      </c>
      <c r="E190" s="333">
        <v>0</v>
      </c>
      <c r="F190" s="333">
        <v>0</v>
      </c>
      <c r="G190" s="333">
        <v>1.426356</v>
      </c>
      <c r="H190" s="333">
        <v>0.19800789120000001</v>
      </c>
      <c r="I190" s="277">
        <f t="shared" si="358"/>
        <v>62.904490963200011</v>
      </c>
      <c r="J190" s="333">
        <v>-0.43383146399999989</v>
      </c>
      <c r="K190" s="333" t="s">
        <v>270</v>
      </c>
      <c r="L190" s="332">
        <v>108</v>
      </c>
      <c r="M190" s="272"/>
      <c r="N190" s="272"/>
      <c r="O190" s="277">
        <f t="shared" si="359"/>
        <v>0.56740858400000016</v>
      </c>
      <c r="P190" s="277">
        <f t="shared" si="360"/>
        <v>0</v>
      </c>
      <c r="Q190" s="277">
        <f t="shared" si="361"/>
        <v>0</v>
      </c>
      <c r="R190" s="277">
        <f t="shared" si="362"/>
        <v>1.3207E-2</v>
      </c>
      <c r="S190" s="277">
        <f t="shared" si="363"/>
        <v>1.8334064E-3</v>
      </c>
      <c r="T190" s="277">
        <f t="shared" si="364"/>
        <v>0.58244899040000009</v>
      </c>
      <c r="U190" s="277">
        <f t="shared" si="365"/>
        <v>-4.0169579999999993E-3</v>
      </c>
      <c r="V190" s="272"/>
      <c r="W190" s="272" t="s">
        <v>309</v>
      </c>
      <c r="X190" s="277">
        <f t="shared" si="366"/>
        <v>0.58244899040000009</v>
      </c>
      <c r="Y190" s="277"/>
      <c r="Z190" s="272"/>
      <c r="AA190" s="277"/>
      <c r="AB190" s="274"/>
      <c r="AC190" s="295"/>
    </row>
    <row r="191" spans="2:29" hidden="1" x14ac:dyDescent="0.35">
      <c r="B191" s="272" t="str">
        <f t="shared" si="357"/>
        <v>Tunge skillevægge_Teglsten genbrugt</v>
      </c>
      <c r="C191" s="332">
        <v>80</v>
      </c>
      <c r="D191" s="333">
        <v>4.7225790720000003</v>
      </c>
      <c r="E191" s="333">
        <v>0</v>
      </c>
      <c r="F191" s="333">
        <v>0</v>
      </c>
      <c r="G191" s="333">
        <v>0.51768720000000001</v>
      </c>
      <c r="H191" s="333">
        <v>0.19800789120000001</v>
      </c>
      <c r="I191" s="277">
        <f t="shared" si="358"/>
        <v>5.4382741632</v>
      </c>
      <c r="J191" s="333">
        <v>-3.4537103999999999E-2</v>
      </c>
      <c r="K191" s="333" t="s">
        <v>270</v>
      </c>
      <c r="L191" s="332">
        <v>108</v>
      </c>
      <c r="M191" s="272"/>
      <c r="N191" s="272"/>
      <c r="O191" s="277">
        <f t="shared" si="359"/>
        <v>4.3727584E-2</v>
      </c>
      <c r="P191" s="277">
        <f t="shared" si="360"/>
        <v>0</v>
      </c>
      <c r="Q191" s="277">
        <f t="shared" si="361"/>
        <v>0</v>
      </c>
      <c r="R191" s="277">
        <f t="shared" si="362"/>
        <v>4.7933999999999997E-3</v>
      </c>
      <c r="S191" s="277">
        <f t="shared" si="363"/>
        <v>1.8334064E-3</v>
      </c>
      <c r="T191" s="277">
        <f t="shared" si="364"/>
        <v>5.0354390399999997E-2</v>
      </c>
      <c r="U191" s="277">
        <f t="shared" si="365"/>
        <v>-3.19788E-4</v>
      </c>
      <c r="V191" s="272"/>
      <c r="W191" s="272" t="s">
        <v>355</v>
      </c>
      <c r="X191" s="277">
        <f t="shared" si="366"/>
        <v>5.0354390399999997E-2</v>
      </c>
      <c r="Y191" s="277"/>
      <c r="Z191" s="272"/>
      <c r="AA191" s="277"/>
      <c r="AB191" s="274"/>
      <c r="AC191" s="295"/>
    </row>
    <row r="192" spans="2:29" hidden="1" x14ac:dyDescent="0.35">
      <c r="B192" s="272" t="str">
        <f t="shared" si="357"/>
        <v>Tunge skillevægge_Glasvæg</v>
      </c>
      <c r="C192" s="332">
        <v>50</v>
      </c>
      <c r="D192" s="333">
        <v>38.010716166666697</v>
      </c>
      <c r="E192" s="333">
        <v>34.964879777777803</v>
      </c>
      <c r="F192" s="333">
        <v>0</v>
      </c>
      <c r="G192" s="333">
        <v>0.40797899999999998</v>
      </c>
      <c r="H192" s="333">
        <v>0.81725743911111104</v>
      </c>
      <c r="I192" s="277">
        <f t="shared" si="358"/>
        <v>39.235952605777804</v>
      </c>
      <c r="J192" s="333">
        <v>-4.2752920000000003</v>
      </c>
      <c r="K192" s="334" t="s">
        <v>270</v>
      </c>
      <c r="L192" s="334">
        <v>3</v>
      </c>
      <c r="M192" s="272"/>
      <c r="N192" s="272"/>
      <c r="O192" s="277">
        <f t="shared" si="359"/>
        <v>12.670238722222232</v>
      </c>
      <c r="P192" s="277">
        <f t="shared" si="360"/>
        <v>11.654959925925935</v>
      </c>
      <c r="Q192" s="277">
        <f t="shared" si="361"/>
        <v>0</v>
      </c>
      <c r="R192" s="277">
        <f t="shared" si="362"/>
        <v>0.135993</v>
      </c>
      <c r="S192" s="277">
        <f t="shared" si="363"/>
        <v>0.27241914637037035</v>
      </c>
      <c r="T192" s="277">
        <f t="shared" si="364"/>
        <v>13.078650868592602</v>
      </c>
      <c r="U192" s="277">
        <f t="shared" si="365"/>
        <v>-1.4250973333333334</v>
      </c>
      <c r="V192" s="272"/>
      <c r="W192" s="272" t="s">
        <v>356</v>
      </c>
      <c r="X192" s="277">
        <f t="shared" si="366"/>
        <v>13.078650868592602</v>
      </c>
      <c r="Y192" s="277"/>
      <c r="Z192" s="272"/>
      <c r="AA192" s="277"/>
      <c r="AB192" s="274"/>
      <c r="AC192" s="295"/>
    </row>
    <row r="193" spans="2:29" hidden="1" x14ac:dyDescent="0.35">
      <c r="B193" s="272" t="str">
        <f t="shared" si="357"/>
        <v>Tunge skillevægge_CLT</v>
      </c>
      <c r="C193" s="332">
        <v>100</v>
      </c>
      <c r="D193" s="333">
        <v>-63.765999999999998</v>
      </c>
      <c r="E193" s="333">
        <v>0</v>
      </c>
      <c r="F193" s="333">
        <v>0</v>
      </c>
      <c r="G193" s="333">
        <v>88.183362030000012</v>
      </c>
      <c r="H193" s="333">
        <v>0</v>
      </c>
      <c r="I193" s="277">
        <f t="shared" si="358"/>
        <v>24.417362030000014</v>
      </c>
      <c r="J193" s="333">
        <v>-25.605882259000001</v>
      </c>
      <c r="K193" s="333" t="s">
        <v>270</v>
      </c>
      <c r="L193" s="332">
        <v>100</v>
      </c>
      <c r="M193" s="272"/>
      <c r="N193" s="272"/>
      <c r="O193" s="277">
        <f t="shared" si="359"/>
        <v>-0.63766</v>
      </c>
      <c r="P193" s="277">
        <f t="shared" si="360"/>
        <v>0</v>
      </c>
      <c r="Q193" s="277">
        <f t="shared" si="361"/>
        <v>0</v>
      </c>
      <c r="R193" s="277">
        <f t="shared" si="362"/>
        <v>0.88183362030000012</v>
      </c>
      <c r="S193" s="277">
        <f t="shared" si="363"/>
        <v>0</v>
      </c>
      <c r="T193" s="277">
        <f t="shared" si="364"/>
        <v>0.24417362030000014</v>
      </c>
      <c r="U193" s="277">
        <f t="shared" si="365"/>
        <v>-0.25605882259000001</v>
      </c>
      <c r="V193" s="272"/>
      <c r="W193" s="272" t="s">
        <v>299</v>
      </c>
      <c r="X193" s="277">
        <f t="shared" si="366"/>
        <v>0.24417362030000014</v>
      </c>
      <c r="Y193" s="277"/>
      <c r="Z193" s="272"/>
      <c r="AA193" s="277"/>
      <c r="AB193" s="274"/>
      <c r="AC193" s="295"/>
    </row>
    <row r="194" spans="2:29" hidden="1" x14ac:dyDescent="0.35">
      <c r="B194" s="272" t="str">
        <f t="shared" si="357"/>
        <v>Tunge skillevægge_Brugerdefineret_1</v>
      </c>
      <c r="C194" s="559"/>
      <c r="D194" s="292"/>
      <c r="E194" s="292"/>
      <c r="F194" s="292"/>
      <c r="G194" s="292"/>
      <c r="H194" s="292"/>
      <c r="I194" s="277">
        <f t="shared" si="358"/>
        <v>0</v>
      </c>
      <c r="J194" s="292"/>
      <c r="K194" s="292"/>
      <c r="L194" s="559"/>
      <c r="M194" s="272"/>
      <c r="N194" s="272"/>
      <c r="O194" s="277" t="e">
        <f t="shared" si="359"/>
        <v>#DIV/0!</v>
      </c>
      <c r="P194" s="277" t="e">
        <f t="shared" si="360"/>
        <v>#DIV/0!</v>
      </c>
      <c r="Q194" s="277" t="e">
        <f t="shared" si="361"/>
        <v>#DIV/0!</v>
      </c>
      <c r="R194" s="277" t="e">
        <f t="shared" si="362"/>
        <v>#DIV/0!</v>
      </c>
      <c r="S194" s="277" t="e">
        <f t="shared" si="363"/>
        <v>#DIV/0!</v>
      </c>
      <c r="T194" s="277" t="e">
        <f t="shared" si="364"/>
        <v>#DIV/0!</v>
      </c>
      <c r="U194" s="277" t="e">
        <f t="shared" si="365"/>
        <v>#DIV/0!</v>
      </c>
      <c r="V194" s="272"/>
      <c r="W194" s="293" t="s">
        <v>280</v>
      </c>
      <c r="X194" s="277" t="e">
        <f t="shared" si="366"/>
        <v>#DIV/0!</v>
      </c>
      <c r="Y194" s="277"/>
      <c r="Z194" s="272"/>
      <c r="AA194" s="277"/>
      <c r="AB194" s="274"/>
      <c r="AC194" s="295"/>
    </row>
    <row r="195" spans="2:29" hidden="1" x14ac:dyDescent="0.35">
      <c r="B195" s="272" t="str">
        <f t="shared" si="357"/>
        <v>Tunge skillevægge_Brugerdefineret_2</v>
      </c>
      <c r="C195" s="559"/>
      <c r="D195" s="292"/>
      <c r="E195" s="292"/>
      <c r="F195" s="292"/>
      <c r="G195" s="292"/>
      <c r="H195" s="292"/>
      <c r="I195" s="277">
        <f t="shared" si="358"/>
        <v>0</v>
      </c>
      <c r="J195" s="292"/>
      <c r="K195" s="292"/>
      <c r="L195" s="559"/>
      <c r="M195" s="272"/>
      <c r="N195" s="272"/>
      <c r="O195" s="277" t="e">
        <f t="shared" si="359"/>
        <v>#DIV/0!</v>
      </c>
      <c r="P195" s="277" t="e">
        <f t="shared" si="360"/>
        <v>#DIV/0!</v>
      </c>
      <c r="Q195" s="277" t="e">
        <f t="shared" si="361"/>
        <v>#DIV/0!</v>
      </c>
      <c r="R195" s="277" t="e">
        <f t="shared" si="362"/>
        <v>#DIV/0!</v>
      </c>
      <c r="S195" s="277" t="e">
        <f t="shared" si="363"/>
        <v>#DIV/0!</v>
      </c>
      <c r="T195" s="277" t="e">
        <f t="shared" si="364"/>
        <v>#DIV/0!</v>
      </c>
      <c r="U195" s="277" t="e">
        <f t="shared" si="365"/>
        <v>#DIV/0!</v>
      </c>
      <c r="V195" s="272"/>
      <c r="W195" s="293" t="s">
        <v>281</v>
      </c>
      <c r="X195" s="277" t="e">
        <f t="shared" si="366"/>
        <v>#DIV/0!</v>
      </c>
      <c r="Y195" s="277"/>
      <c r="Z195" s="272"/>
      <c r="AA195" s="277"/>
      <c r="AB195" s="274"/>
      <c r="AC195" s="295"/>
    </row>
    <row r="196" spans="2:29" ht="23.5" hidden="1" x14ac:dyDescent="0.55000000000000004">
      <c r="B196" s="281" t="s">
        <v>357</v>
      </c>
      <c r="C196" s="272"/>
      <c r="D196" s="272"/>
      <c r="E196" s="272"/>
      <c r="F196" s="272"/>
      <c r="G196" s="272"/>
      <c r="H196" s="272"/>
      <c r="I196" s="277"/>
      <c r="J196" s="272"/>
      <c r="K196" s="272"/>
      <c r="L196" s="272"/>
      <c r="M196" s="272"/>
      <c r="N196" s="272"/>
      <c r="O196" s="272"/>
      <c r="P196" s="272"/>
      <c r="Q196" s="272"/>
      <c r="R196" s="272"/>
      <c r="S196" s="272"/>
      <c r="T196" s="272"/>
      <c r="U196" s="272"/>
      <c r="V196" s="272"/>
      <c r="W196" s="274" t="s">
        <v>302</v>
      </c>
      <c r="X196" s="275">
        <f t="shared" si="366"/>
        <v>0</v>
      </c>
      <c r="Y196" s="277"/>
      <c r="Z196" s="272"/>
      <c r="AA196" s="277"/>
      <c r="AB196" s="274"/>
      <c r="AC196" s="295"/>
    </row>
    <row r="197" spans="2:29" hidden="1" x14ac:dyDescent="0.35">
      <c r="B197" s="271"/>
      <c r="C197" s="268">
        <v>200</v>
      </c>
      <c r="D197" s="272"/>
      <c r="E197" s="272"/>
      <c r="F197" s="272"/>
      <c r="G197" s="272"/>
      <c r="H197" s="272"/>
      <c r="I197" s="277"/>
      <c r="J197" s="272"/>
      <c r="K197" s="272"/>
      <c r="L197" s="272"/>
      <c r="M197" s="272"/>
      <c r="N197" s="272"/>
      <c r="O197" s="272"/>
      <c r="P197" s="272"/>
      <c r="Q197" s="272"/>
      <c r="R197" s="272"/>
      <c r="S197" s="272"/>
      <c r="T197" s="272"/>
      <c r="U197" s="272"/>
      <c r="V197" s="272"/>
      <c r="W197" s="274" t="s">
        <v>103</v>
      </c>
      <c r="X197" s="275"/>
      <c r="Y197" s="277"/>
      <c r="Z197" s="272"/>
      <c r="AA197" s="277"/>
      <c r="AB197" s="274"/>
      <c r="AC197" s="295"/>
    </row>
    <row r="198" spans="2:29" hidden="1" x14ac:dyDescent="0.35">
      <c r="B198" s="272" t="str">
        <f>$B$196&amp;"_"&amp;W198</f>
        <v>Lette skillevægge_Brugerdefineret_1</v>
      </c>
      <c r="C198" s="559"/>
      <c r="D198" s="292"/>
      <c r="E198" s="292"/>
      <c r="F198" s="292"/>
      <c r="G198" s="292"/>
      <c r="H198" s="292"/>
      <c r="I198" s="277">
        <f>D198+G198+H198</f>
        <v>0</v>
      </c>
      <c r="J198" s="292"/>
      <c r="K198" s="291"/>
      <c r="L198" s="559"/>
      <c r="M198" s="272"/>
      <c r="N198" s="272"/>
      <c r="O198" s="277" t="e">
        <f>D198/L198</f>
        <v>#DIV/0!</v>
      </c>
      <c r="P198" s="277" t="e">
        <f>E198/L198</f>
        <v>#DIV/0!</v>
      </c>
      <c r="Q198" s="277" t="e">
        <f>F198/L198</f>
        <v>#DIV/0!</v>
      </c>
      <c r="R198" s="277" t="e">
        <f>G198/L198</f>
        <v>#DIV/0!</v>
      </c>
      <c r="S198" s="277" t="e">
        <f>H198/L198</f>
        <v>#DIV/0!</v>
      </c>
      <c r="T198" s="277" t="e">
        <f>I198/L198</f>
        <v>#DIV/0!</v>
      </c>
      <c r="U198" s="277" t="e">
        <f>J198/L198</f>
        <v>#DIV/0!</v>
      </c>
      <c r="V198" s="272"/>
      <c r="W198" s="293" t="s">
        <v>280</v>
      </c>
      <c r="X198" s="277" t="e">
        <f>T198</f>
        <v>#DIV/0!</v>
      </c>
      <c r="Y198" s="277"/>
      <c r="Z198" s="272"/>
      <c r="AA198" s="277"/>
      <c r="AB198" s="274"/>
      <c r="AC198" s="295"/>
    </row>
    <row r="199" spans="2:29" hidden="1" x14ac:dyDescent="0.35">
      <c r="B199" s="272" t="str">
        <f>$B$196&amp;"_"&amp;W199</f>
        <v>Lette skillevægge_Brugerdefineret_2</v>
      </c>
      <c r="C199" s="559"/>
      <c r="D199" s="292"/>
      <c r="E199" s="292"/>
      <c r="F199" s="292"/>
      <c r="G199" s="292"/>
      <c r="H199" s="292"/>
      <c r="I199" s="277">
        <f>D199+G199+H199</f>
        <v>0</v>
      </c>
      <c r="J199" s="292"/>
      <c r="K199" s="291"/>
      <c r="L199" s="559"/>
      <c r="M199" s="272"/>
      <c r="N199" s="272"/>
      <c r="O199" s="277" t="e">
        <f>D199/L199</f>
        <v>#DIV/0!</v>
      </c>
      <c r="P199" s="277" t="e">
        <f>E199/L199</f>
        <v>#DIV/0!</v>
      </c>
      <c r="Q199" s="277" t="e">
        <f>F199/L199</f>
        <v>#DIV/0!</v>
      </c>
      <c r="R199" s="277" t="e">
        <f>G199/L199</f>
        <v>#DIV/0!</v>
      </c>
      <c r="S199" s="277" t="e">
        <f>H199/L199</f>
        <v>#DIV/0!</v>
      </c>
      <c r="T199" s="277" t="e">
        <f>I199/L199</f>
        <v>#DIV/0!</v>
      </c>
      <c r="U199" s="277" t="e">
        <f>J199/L199</f>
        <v>#DIV/0!</v>
      </c>
      <c r="V199" s="272"/>
      <c r="W199" s="293" t="s">
        <v>281</v>
      </c>
      <c r="X199" s="277" t="e">
        <f>T199</f>
        <v>#DIV/0!</v>
      </c>
      <c r="Y199" s="277"/>
      <c r="Z199" s="272"/>
      <c r="AA199" s="277"/>
      <c r="AB199" s="274"/>
      <c r="AC199" s="295"/>
    </row>
    <row r="200" spans="2:29" ht="23.5" x14ac:dyDescent="0.55000000000000004">
      <c r="B200" s="281" t="s">
        <v>358</v>
      </c>
      <c r="C200" s="272"/>
      <c r="D200" s="272"/>
      <c r="E200" s="272"/>
      <c r="F200" s="272"/>
      <c r="G200" s="272"/>
      <c r="H200" s="272"/>
      <c r="I200" s="277"/>
      <c r="J200" s="272"/>
      <c r="K200" s="272"/>
      <c r="L200" s="272"/>
      <c r="M200" s="272"/>
      <c r="N200" s="272"/>
      <c r="O200" s="272"/>
      <c r="P200" s="272"/>
      <c r="Q200" s="272"/>
      <c r="R200" s="272"/>
      <c r="S200" s="272"/>
      <c r="T200" s="272"/>
      <c r="U200" s="272"/>
      <c r="V200" s="272"/>
      <c r="W200" s="274" t="s">
        <v>302</v>
      </c>
      <c r="X200" s="275">
        <f>T200</f>
        <v>0</v>
      </c>
      <c r="Y200" s="277"/>
      <c r="Z200" s="272"/>
      <c r="AA200" s="277"/>
      <c r="AB200" s="274"/>
      <c r="AC200" s="295"/>
    </row>
    <row r="201" spans="2:29" x14ac:dyDescent="0.35">
      <c r="B201" s="274" t="s">
        <v>358</v>
      </c>
      <c r="C201" s="268">
        <v>200</v>
      </c>
      <c r="D201" s="272"/>
      <c r="E201" s="272"/>
      <c r="F201" s="272"/>
      <c r="G201" s="272"/>
      <c r="H201" s="272"/>
      <c r="I201" s="277">
        <f>D201+G201+H201</f>
        <v>0</v>
      </c>
      <c r="J201" s="272"/>
      <c r="K201" s="272"/>
      <c r="L201" s="272"/>
      <c r="M201" s="272"/>
      <c r="N201" s="272"/>
      <c r="O201" s="272"/>
      <c r="P201" s="272"/>
      <c r="Q201" s="272"/>
      <c r="R201" s="272"/>
      <c r="S201" s="272"/>
      <c r="T201" s="272"/>
      <c r="U201" s="272"/>
      <c r="V201" s="272"/>
      <c r="W201" s="274" t="s">
        <v>103</v>
      </c>
      <c r="X201" s="275"/>
      <c r="Y201" s="277"/>
      <c r="Z201" s="272"/>
      <c r="AA201" s="277"/>
      <c r="AB201" s="274"/>
      <c r="AC201" s="295"/>
    </row>
    <row r="202" spans="2:29" x14ac:dyDescent="0.35">
      <c r="B202" s="272" t="str">
        <f t="shared" ref="B202:B210" si="367">$B$201&amp;"_"&amp;W202</f>
        <v>Skillevægskonstruktion_Porebeton</v>
      </c>
      <c r="C202" s="276">
        <v>100</v>
      </c>
      <c r="D202" s="277">
        <v>21.519304000000002</v>
      </c>
      <c r="E202" s="277">
        <v>0</v>
      </c>
      <c r="F202" s="277">
        <v>0</v>
      </c>
      <c r="G202" s="277">
        <v>0.25557999999999997</v>
      </c>
      <c r="H202" s="277">
        <v>3.2739359999999999E-3</v>
      </c>
      <c r="I202" s="277">
        <f t="shared" ref="I202" si="368">D202+G202+H202</f>
        <v>21.778157935999999</v>
      </c>
      <c r="J202" s="277">
        <v>-1.9644512999999999</v>
      </c>
      <c r="K202" s="276" t="s">
        <v>270</v>
      </c>
      <c r="L202" s="276">
        <v>100</v>
      </c>
      <c r="M202" s="272"/>
      <c r="N202" s="272"/>
      <c r="O202" s="277">
        <f t="shared" ref="O202" si="369">D202/L202</f>
        <v>0.21519304000000003</v>
      </c>
      <c r="P202" s="277">
        <f t="shared" ref="P202" si="370">E202/L202</f>
        <v>0</v>
      </c>
      <c r="Q202" s="277">
        <f t="shared" ref="Q202" si="371">F202/L202</f>
        <v>0</v>
      </c>
      <c r="R202" s="277">
        <f t="shared" ref="R202" si="372">G202/L202</f>
        <v>2.5557999999999996E-3</v>
      </c>
      <c r="S202" s="277">
        <f t="shared" ref="S202" si="373">H202/L202</f>
        <v>3.2739359999999998E-5</v>
      </c>
      <c r="T202" s="294">
        <f t="shared" ref="T202" si="374">I202/L202</f>
        <v>0.21778157936</v>
      </c>
      <c r="U202" s="277">
        <f t="shared" ref="U202" si="375">J202/L202</f>
        <v>-1.9644512999999999E-2</v>
      </c>
      <c r="V202" s="272"/>
      <c r="W202" s="285" t="str">
        <f t="shared" ref="W202:X205" si="376">W188</f>
        <v>Porebeton</v>
      </c>
      <c r="X202" s="277">
        <f t="shared" si="376"/>
        <v>0.29118082368421044</v>
      </c>
      <c r="Y202" s="277"/>
      <c r="Z202" s="272"/>
      <c r="AA202" s="277"/>
      <c r="AB202" s="274"/>
      <c r="AC202" s="540">
        <f>I202</f>
        <v>21.778157935999999</v>
      </c>
    </row>
    <row r="203" spans="2:29" x14ac:dyDescent="0.35">
      <c r="B203" s="272" t="str">
        <f t="shared" si="367"/>
        <v>Skillevægskonstruktion_Teglblokke</v>
      </c>
      <c r="C203" s="284">
        <v>100</v>
      </c>
      <c r="D203" s="277">
        <v>28.342666640000001</v>
      </c>
      <c r="E203" s="277">
        <v>0</v>
      </c>
      <c r="F203" s="277">
        <v>0</v>
      </c>
      <c r="G203" s="277">
        <v>0.6603500000000001</v>
      </c>
      <c r="H203" s="277">
        <v>9.0360743999999993E-2</v>
      </c>
      <c r="I203" s="277">
        <f t="shared" ref="I203:I207" si="377">D203+G203+H203</f>
        <v>29.093377384000004</v>
      </c>
      <c r="J203" s="277">
        <v>-0.20061947999999999</v>
      </c>
      <c r="K203" s="277" t="s">
        <v>270</v>
      </c>
      <c r="L203" s="284">
        <v>115</v>
      </c>
      <c r="M203" s="276"/>
      <c r="N203" s="276"/>
      <c r="O203" s="282">
        <f t="shared" ref="O203:U203" si="378">O189</f>
        <v>0.2464579707826087</v>
      </c>
      <c r="P203" s="282">
        <f t="shared" si="378"/>
        <v>0</v>
      </c>
      <c r="Q203" s="282">
        <f t="shared" si="378"/>
        <v>0</v>
      </c>
      <c r="R203" s="282">
        <f t="shared" si="378"/>
        <v>5.7421739130434791E-3</v>
      </c>
      <c r="S203" s="282">
        <f t="shared" si="378"/>
        <v>7.857455999999999E-4</v>
      </c>
      <c r="T203" s="282">
        <f t="shared" si="378"/>
        <v>0.25298589029565222</v>
      </c>
      <c r="U203" s="282">
        <f t="shared" si="378"/>
        <v>-1.7445172173913043E-3</v>
      </c>
      <c r="V203" s="272"/>
      <c r="W203" s="285" t="str">
        <f t="shared" si="376"/>
        <v>Teglblokke</v>
      </c>
      <c r="X203" s="277">
        <f t="shared" si="376"/>
        <v>0.25298589029565222</v>
      </c>
      <c r="Y203" s="277"/>
      <c r="Z203" s="272"/>
      <c r="AA203" s="277"/>
      <c r="AB203" s="274"/>
      <c r="AC203" s="540">
        <f t="shared" ref="AC203:AC214" si="379">I203</f>
        <v>29.093377384000004</v>
      </c>
    </row>
    <row r="204" spans="2:29" x14ac:dyDescent="0.35">
      <c r="B204" s="285" t="str">
        <f t="shared" si="367"/>
        <v>Skillevægskonstruktion_Teglsten</v>
      </c>
      <c r="C204" s="276">
        <v>100</v>
      </c>
      <c r="D204" s="277">
        <v>76.342703999999998</v>
      </c>
      <c r="E204" s="277">
        <v>0</v>
      </c>
      <c r="F204" s="277">
        <v>0</v>
      </c>
      <c r="G204" s="277">
        <v>1.426356</v>
      </c>
      <c r="H204" s="277">
        <v>0.90851835000000003</v>
      </c>
      <c r="I204" s="277">
        <f t="shared" si="377"/>
        <v>78.67757834999999</v>
      </c>
      <c r="J204" s="277">
        <v>-0.55776073500000001</v>
      </c>
      <c r="K204" s="276" t="s">
        <v>270</v>
      </c>
      <c r="L204" s="276">
        <v>108</v>
      </c>
      <c r="M204" s="272"/>
      <c r="N204" s="272"/>
      <c r="O204" s="277">
        <f t="shared" ref="O204" si="380">D204/L204</f>
        <v>0.70687688888888889</v>
      </c>
      <c r="P204" s="277">
        <f t="shared" ref="P204" si="381">E204/L204</f>
        <v>0</v>
      </c>
      <c r="Q204" s="277">
        <f t="shared" ref="Q204" si="382">F204/L204</f>
        <v>0</v>
      </c>
      <c r="R204" s="277">
        <f t="shared" ref="R204" si="383">G204/L204</f>
        <v>1.3207E-2</v>
      </c>
      <c r="S204" s="277">
        <f t="shared" ref="S204" si="384">H204/L204</f>
        <v>8.4122069444444447E-3</v>
      </c>
      <c r="T204" s="294">
        <f t="shared" ref="T204" si="385">I204/L204</f>
        <v>0.72849609583333319</v>
      </c>
      <c r="U204" s="277">
        <f t="shared" ref="U204" si="386">J204/L204</f>
        <v>-5.1644512500000003E-3</v>
      </c>
      <c r="V204" s="272"/>
      <c r="W204" s="285" t="str">
        <f t="shared" si="376"/>
        <v>Teglsten</v>
      </c>
      <c r="X204" s="277">
        <f t="shared" si="376"/>
        <v>0.58244899040000009</v>
      </c>
      <c r="Y204" s="277"/>
      <c r="Z204" s="272"/>
      <c r="AA204" s="277"/>
      <c r="AB204" s="274"/>
      <c r="AC204" s="540">
        <f t="shared" si="379"/>
        <v>78.67757834999999</v>
      </c>
    </row>
    <row r="205" spans="2:29" x14ac:dyDescent="0.35">
      <c r="B205" s="285" t="str">
        <f t="shared" si="367"/>
        <v>Skillevægskonstruktion_Teglsten genbrugt</v>
      </c>
      <c r="C205" s="284">
        <v>80</v>
      </c>
      <c r="D205" s="277">
        <v>4.7225790720000003</v>
      </c>
      <c r="E205" s="277">
        <v>0</v>
      </c>
      <c r="F205" s="277">
        <v>0</v>
      </c>
      <c r="G205" s="277">
        <v>0.51768720000000001</v>
      </c>
      <c r="H205" s="277">
        <v>0.19800789120000001</v>
      </c>
      <c r="I205" s="277">
        <f t="shared" si="377"/>
        <v>5.4382741632</v>
      </c>
      <c r="J205" s="277">
        <v>-3.4537103999999999E-2</v>
      </c>
      <c r="K205" s="277" t="s">
        <v>270</v>
      </c>
      <c r="L205" s="284">
        <v>108</v>
      </c>
      <c r="M205" s="276"/>
      <c r="N205" s="276"/>
      <c r="O205" s="282">
        <f t="shared" ref="O205:U205" si="387">O196</f>
        <v>0</v>
      </c>
      <c r="P205" s="282">
        <f t="shared" si="387"/>
        <v>0</v>
      </c>
      <c r="Q205" s="282">
        <f t="shared" si="387"/>
        <v>0</v>
      </c>
      <c r="R205" s="282">
        <f t="shared" si="387"/>
        <v>0</v>
      </c>
      <c r="S205" s="282">
        <f t="shared" si="387"/>
        <v>0</v>
      </c>
      <c r="T205" s="282">
        <f t="shared" si="387"/>
        <v>0</v>
      </c>
      <c r="U205" s="282">
        <f t="shared" si="387"/>
        <v>0</v>
      </c>
      <c r="V205" s="272"/>
      <c r="W205" s="285" t="str">
        <f t="shared" si="376"/>
        <v>Teglsten genbrugt</v>
      </c>
      <c r="X205" s="277">
        <f t="shared" si="376"/>
        <v>5.0354390399999997E-2</v>
      </c>
      <c r="Y205" s="277"/>
      <c r="Z205" s="272"/>
      <c r="AA205" s="277"/>
      <c r="AB205" s="274"/>
      <c r="AC205" s="540">
        <f t="shared" si="379"/>
        <v>5.4382741632</v>
      </c>
    </row>
    <row r="206" spans="2:29" x14ac:dyDescent="0.35">
      <c r="B206" s="272" t="str">
        <f t="shared" si="367"/>
        <v>Skillevægskonstruktion_Glasvæg</v>
      </c>
      <c r="C206" s="284">
        <v>50</v>
      </c>
      <c r="D206" s="277">
        <v>38.010716166666697</v>
      </c>
      <c r="E206" s="277">
        <v>34.964879777777803</v>
      </c>
      <c r="F206" s="277">
        <v>0</v>
      </c>
      <c r="G206" s="277">
        <v>0.40797899999999998</v>
      </c>
      <c r="H206" s="277">
        <v>0.81725743911111104</v>
      </c>
      <c r="I206" s="277">
        <f t="shared" si="377"/>
        <v>39.235952605777804</v>
      </c>
      <c r="J206" s="277">
        <v>-4.18887455555556</v>
      </c>
      <c r="K206" s="276" t="s">
        <v>270</v>
      </c>
      <c r="L206" s="276">
        <v>12</v>
      </c>
      <c r="M206" s="272"/>
      <c r="N206" s="272"/>
      <c r="O206" s="277">
        <f>D206/L206</f>
        <v>3.1675596805555579</v>
      </c>
      <c r="P206" s="277">
        <f>E206/L206</f>
        <v>2.9137399814814837</v>
      </c>
      <c r="Q206" s="277">
        <f>F206/L206</f>
        <v>0</v>
      </c>
      <c r="R206" s="277">
        <f>G206/L206</f>
        <v>3.3998250000000001E-2</v>
      </c>
      <c r="S206" s="277">
        <f>H206/L206</f>
        <v>6.8104786592592587E-2</v>
      </c>
      <c r="T206" s="277">
        <f>I206/L206</f>
        <v>3.2696627171481505</v>
      </c>
      <c r="U206" s="277">
        <f>J206/L206</f>
        <v>-0.34907287962963002</v>
      </c>
      <c r="V206" s="272"/>
      <c r="W206" s="272" t="s">
        <v>356</v>
      </c>
      <c r="X206" s="277">
        <f>T206</f>
        <v>3.2696627171481505</v>
      </c>
      <c r="Y206" s="277"/>
      <c r="Z206" s="272"/>
      <c r="AA206" s="277"/>
      <c r="AB206" s="274"/>
      <c r="AC206" s="540">
        <f t="shared" si="379"/>
        <v>39.235952605777804</v>
      </c>
    </row>
    <row r="207" spans="2:29" x14ac:dyDescent="0.35">
      <c r="B207" s="285" t="str">
        <f t="shared" si="367"/>
        <v>Skillevægskonstruktion_CLT</v>
      </c>
      <c r="C207" s="284">
        <v>100</v>
      </c>
      <c r="D207" s="277">
        <v>-63.765999999999998</v>
      </c>
      <c r="E207" s="277">
        <v>0</v>
      </c>
      <c r="F207" s="277">
        <v>0</v>
      </c>
      <c r="G207" s="277">
        <v>88.183362030000012</v>
      </c>
      <c r="H207" s="277">
        <v>0</v>
      </c>
      <c r="I207" s="277">
        <f t="shared" si="377"/>
        <v>24.417362030000014</v>
      </c>
      <c r="J207" s="277">
        <v>-25.605882259000001</v>
      </c>
      <c r="K207" s="277" t="s">
        <v>270</v>
      </c>
      <c r="L207" s="284">
        <v>100</v>
      </c>
      <c r="M207" s="276"/>
      <c r="N207" s="276"/>
      <c r="O207" s="282">
        <f>O193</f>
        <v>-0.63766</v>
      </c>
      <c r="P207" s="282">
        <f t="shared" ref="P207:U207" si="388">P193</f>
        <v>0</v>
      </c>
      <c r="Q207" s="282">
        <f t="shared" si="388"/>
        <v>0</v>
      </c>
      <c r="R207" s="282">
        <f t="shared" si="388"/>
        <v>0.88183362030000012</v>
      </c>
      <c r="S207" s="282">
        <f t="shared" si="388"/>
        <v>0</v>
      </c>
      <c r="T207" s="282">
        <f t="shared" si="388"/>
        <v>0.24417362030000014</v>
      </c>
      <c r="U207" s="282">
        <f t="shared" si="388"/>
        <v>-0.25605882259000001</v>
      </c>
      <c r="V207" s="272"/>
      <c r="W207" s="285" t="str">
        <f>W193</f>
        <v>CLT</v>
      </c>
      <c r="X207" s="277">
        <f>X193</f>
        <v>0.24417362030000014</v>
      </c>
      <c r="Y207" s="277">
        <v>47</v>
      </c>
      <c r="Z207" s="272"/>
      <c r="AA207" s="282">
        <f>Y207/L207</f>
        <v>0.47</v>
      </c>
      <c r="AB207" s="274"/>
      <c r="AC207" s="540">
        <f t="shared" si="379"/>
        <v>24.417362030000014</v>
      </c>
    </row>
    <row r="208" spans="2:29" x14ac:dyDescent="0.35">
      <c r="B208" s="272" t="str">
        <f t="shared" si="367"/>
        <v>Skillevægskonstruktion_Stålskelet</v>
      </c>
      <c r="C208" s="276">
        <v>120</v>
      </c>
      <c r="D208" s="294">
        <v>2.8125</v>
      </c>
      <c r="E208" s="277">
        <v>0</v>
      </c>
      <c r="F208" s="277">
        <v>0</v>
      </c>
      <c r="G208" s="294">
        <v>4.6100000000000004E-3</v>
      </c>
      <c r="H208" s="277">
        <v>6.8207000000000006E-5</v>
      </c>
      <c r="I208" s="277">
        <f>D208+G208+H208</f>
        <v>2.817178207</v>
      </c>
      <c r="J208" s="277">
        <v>-1.0335000000000001</v>
      </c>
      <c r="K208" s="276" t="s">
        <v>270</v>
      </c>
      <c r="L208" s="276">
        <v>95</v>
      </c>
      <c r="M208" s="272"/>
      <c r="N208" s="272"/>
      <c r="O208" s="277">
        <f t="shared" ref="O208:O210" si="389">D208/L208</f>
        <v>2.9605263157894735E-2</v>
      </c>
      <c r="P208" s="277">
        <f t="shared" ref="P208:P210" si="390">E208/L208</f>
        <v>0</v>
      </c>
      <c r="Q208" s="277">
        <f t="shared" ref="Q208:Q210" si="391">F208/L208</f>
        <v>0</v>
      </c>
      <c r="R208" s="277">
        <f t="shared" ref="R208:R210" si="392">G208/L208</f>
        <v>4.8526315789473688E-5</v>
      </c>
      <c r="S208" s="277">
        <f t="shared" ref="S208:S210" si="393">H208/L208</f>
        <v>7.1796842105263162E-7</v>
      </c>
      <c r="T208" s="294">
        <f t="shared" ref="T208:T210" si="394">I208/L208</f>
        <v>2.9654507442105262E-2</v>
      </c>
      <c r="U208" s="277">
        <f t="shared" ref="U208:U210" si="395">J208/L208</f>
        <v>-1.0878947368421054E-2</v>
      </c>
      <c r="V208" s="272"/>
      <c r="W208" s="272" t="s">
        <v>298</v>
      </c>
      <c r="X208" s="277">
        <f t="shared" ref="X208:X214" si="396">T208</f>
        <v>2.9654507442105262E-2</v>
      </c>
      <c r="Y208" s="277"/>
      <c r="Z208" s="272"/>
      <c r="AA208" s="282"/>
      <c r="AB208" s="274"/>
      <c r="AC208" s="540">
        <f t="shared" si="379"/>
        <v>2.817178207</v>
      </c>
    </row>
    <row r="209" spans="2:29" x14ac:dyDescent="0.35">
      <c r="B209" s="272" t="str">
        <f t="shared" si="367"/>
        <v>Skillevægskonstruktion_Træskelet</v>
      </c>
      <c r="C209" s="276">
        <v>100</v>
      </c>
      <c r="D209" s="277">
        <v>-13.736000000000001</v>
      </c>
      <c r="E209" s="277">
        <v>0</v>
      </c>
      <c r="F209" s="277">
        <v>0</v>
      </c>
      <c r="G209" s="277">
        <v>14.7056</v>
      </c>
      <c r="H209" s="277">
        <v>3.4103500000000003E-5</v>
      </c>
      <c r="I209" s="277">
        <f>D209+G209+H209</f>
        <v>0.96963410349999979</v>
      </c>
      <c r="J209" s="277">
        <v>-7.4942000000000002</v>
      </c>
      <c r="K209" s="276" t="s">
        <v>270</v>
      </c>
      <c r="L209" s="276">
        <v>95</v>
      </c>
      <c r="M209" s="272"/>
      <c r="N209" s="272"/>
      <c r="O209" s="277">
        <f t="shared" si="389"/>
        <v>-0.14458947368421055</v>
      </c>
      <c r="P209" s="277">
        <f t="shared" si="390"/>
        <v>0</v>
      </c>
      <c r="Q209" s="277">
        <f t="shared" si="391"/>
        <v>0</v>
      </c>
      <c r="R209" s="277">
        <f t="shared" si="392"/>
        <v>0.15479578947368422</v>
      </c>
      <c r="S209" s="277">
        <f t="shared" si="393"/>
        <v>3.5898421052631581E-7</v>
      </c>
      <c r="T209" s="294">
        <f t="shared" si="394"/>
        <v>1.0206674773684208E-2</v>
      </c>
      <c r="U209" s="277">
        <f t="shared" si="395"/>
        <v>-7.8886315789473679E-2</v>
      </c>
      <c r="V209" s="272"/>
      <c r="W209" s="272" t="s">
        <v>107</v>
      </c>
      <c r="X209" s="277">
        <f t="shared" si="396"/>
        <v>1.0206674773684208E-2</v>
      </c>
      <c r="Y209" s="277">
        <v>9.2111999999999998</v>
      </c>
      <c r="Z209" s="272"/>
      <c r="AA209" s="282">
        <f>Y209/L209</f>
        <v>9.6960000000000005E-2</v>
      </c>
      <c r="AB209" s="274"/>
      <c r="AC209" s="540">
        <f t="shared" si="379"/>
        <v>0.96963410349999979</v>
      </c>
    </row>
    <row r="210" spans="2:29" x14ac:dyDescent="0.35">
      <c r="B210" s="285" t="str">
        <f t="shared" si="367"/>
        <v>Skillevægskonstruktion_Betonelement C30/37</v>
      </c>
      <c r="C210" s="276">
        <v>120</v>
      </c>
      <c r="D210" s="277">
        <v>38.760156000000002</v>
      </c>
      <c r="E210" s="277">
        <v>0</v>
      </c>
      <c r="F210" s="277">
        <v>0</v>
      </c>
      <c r="G210" s="277">
        <v>0.80640000000000001</v>
      </c>
      <c r="H210" s="277">
        <v>0.60131090399999998</v>
      </c>
      <c r="I210" s="277">
        <f t="shared" ref="I210" si="397">D210+G210+H210</f>
        <v>40.167866904000007</v>
      </c>
      <c r="J210" s="277">
        <v>-3.3816000000000002</v>
      </c>
      <c r="K210" s="276" t="s">
        <v>270</v>
      </c>
      <c r="L210" s="276">
        <v>120</v>
      </c>
      <c r="M210" s="272"/>
      <c r="N210" s="272"/>
      <c r="O210" s="277">
        <f t="shared" si="389"/>
        <v>0.32300129999999999</v>
      </c>
      <c r="P210" s="277">
        <f t="shared" si="390"/>
        <v>0</v>
      </c>
      <c r="Q210" s="277">
        <f t="shared" si="391"/>
        <v>0</v>
      </c>
      <c r="R210" s="277">
        <f t="shared" si="392"/>
        <v>6.7200000000000003E-3</v>
      </c>
      <c r="S210" s="277">
        <f t="shared" si="393"/>
        <v>5.0109242E-3</v>
      </c>
      <c r="T210" s="294">
        <f t="shared" si="394"/>
        <v>0.33473222420000004</v>
      </c>
      <c r="U210" s="277">
        <f t="shared" si="395"/>
        <v>-2.818E-2</v>
      </c>
      <c r="V210" s="272"/>
      <c r="W210" s="272" t="s">
        <v>297</v>
      </c>
      <c r="X210" s="277">
        <f t="shared" si="396"/>
        <v>0.33473222420000004</v>
      </c>
      <c r="Y210" s="277"/>
      <c r="Z210" s="272"/>
      <c r="AA210" s="277"/>
      <c r="AB210" s="274"/>
      <c r="AC210" s="540">
        <f t="shared" si="379"/>
        <v>40.167866904000007</v>
      </c>
    </row>
    <row r="211" spans="2:29" x14ac:dyDescent="0.35">
      <c r="B211" s="285" t="str">
        <f t="shared" ref="B211" si="398">$B$201&amp;"_"&amp;W211</f>
        <v>Skillevægskonstruktion_Genbrugs konstruktion</v>
      </c>
      <c r="C211" s="276">
        <v>50</v>
      </c>
      <c r="D211" s="277">
        <v>0</v>
      </c>
      <c r="E211" s="277">
        <v>0</v>
      </c>
      <c r="F211" s="277">
        <v>0</v>
      </c>
      <c r="G211" s="277">
        <v>0</v>
      </c>
      <c r="H211" s="277">
        <v>0</v>
      </c>
      <c r="I211" s="277">
        <f t="shared" ref="I211" si="399">D211+G211+H211</f>
        <v>0</v>
      </c>
      <c r="J211" s="277">
        <v>0</v>
      </c>
      <c r="K211" s="276" t="s">
        <v>270</v>
      </c>
      <c r="L211" s="276">
        <v>1</v>
      </c>
      <c r="M211" s="272"/>
      <c r="N211" s="272"/>
      <c r="O211" s="277">
        <f t="shared" ref="O211" si="400">D211/L211</f>
        <v>0</v>
      </c>
      <c r="P211" s="277">
        <f t="shared" ref="P211" si="401">E211/L211</f>
        <v>0</v>
      </c>
      <c r="Q211" s="277">
        <f t="shared" ref="Q211" si="402">F211/L211</f>
        <v>0</v>
      </c>
      <c r="R211" s="277">
        <f t="shared" ref="R211" si="403">G211/L211</f>
        <v>0</v>
      </c>
      <c r="S211" s="277">
        <f t="shared" ref="S211" si="404">H211/L211</f>
        <v>0</v>
      </c>
      <c r="T211" s="294">
        <f t="shared" ref="T211" si="405">I211/L211</f>
        <v>0</v>
      </c>
      <c r="U211" s="277">
        <f t="shared" ref="U211" si="406">J211/L211</f>
        <v>0</v>
      </c>
      <c r="V211" s="272"/>
      <c r="W211" s="272" t="s">
        <v>1005</v>
      </c>
      <c r="X211" s="277">
        <f t="shared" si="396"/>
        <v>0</v>
      </c>
      <c r="Y211" s="277"/>
      <c r="Z211" s="272"/>
      <c r="AA211" s="277"/>
      <c r="AB211" s="274"/>
      <c r="AC211" s="540">
        <f t="shared" si="379"/>
        <v>0</v>
      </c>
    </row>
    <row r="212" spans="2:29" x14ac:dyDescent="0.35">
      <c r="B212" s="285" t="str">
        <f t="shared" ref="B212:B214" si="407">$B$201&amp;"_"&amp;W212</f>
        <v>Skillevægskonstruktion_Brugerdefineret_1</v>
      </c>
      <c r="C212" s="652">
        <v>100</v>
      </c>
      <c r="D212" s="651">
        <v>0</v>
      </c>
      <c r="E212" s="651">
        <v>0</v>
      </c>
      <c r="F212" s="651">
        <v>0</v>
      </c>
      <c r="G212" s="651">
        <v>0</v>
      </c>
      <c r="H212" s="651">
        <v>0</v>
      </c>
      <c r="I212" s="651">
        <f t="shared" ref="I212:I214" si="408">D212+G212+H212</f>
        <v>0</v>
      </c>
      <c r="J212" s="651">
        <v>0</v>
      </c>
      <c r="K212" s="650" t="s">
        <v>288</v>
      </c>
      <c r="L212" s="650">
        <v>1</v>
      </c>
      <c r="M212" s="272"/>
      <c r="N212" s="272"/>
      <c r="O212" s="277">
        <f t="shared" ref="O212:O214" si="409">D212/L212</f>
        <v>0</v>
      </c>
      <c r="P212" s="277">
        <f t="shared" ref="P212:P214" si="410">E212/L212</f>
        <v>0</v>
      </c>
      <c r="Q212" s="277">
        <f t="shared" ref="Q212:Q214" si="411">F212/L212</f>
        <v>0</v>
      </c>
      <c r="R212" s="277">
        <f t="shared" ref="R212:R214" si="412">G212/L212</f>
        <v>0</v>
      </c>
      <c r="S212" s="277">
        <f t="shared" ref="S212:S214" si="413">H212/L212</f>
        <v>0</v>
      </c>
      <c r="T212" s="294">
        <f t="shared" ref="T212:T214" si="414">I212/L212</f>
        <v>0</v>
      </c>
      <c r="U212" s="277">
        <f t="shared" ref="U212:U214" si="415">J212/L212</f>
        <v>0</v>
      </c>
      <c r="V212" s="272"/>
      <c r="W212" s="653" t="s">
        <v>280</v>
      </c>
      <c r="X212" s="277">
        <f t="shared" si="396"/>
        <v>0</v>
      </c>
      <c r="Y212" s="277"/>
      <c r="Z212" s="272"/>
      <c r="AA212" s="277"/>
      <c r="AB212" s="274"/>
      <c r="AC212" s="540">
        <f t="shared" si="379"/>
        <v>0</v>
      </c>
    </row>
    <row r="213" spans="2:29" x14ac:dyDescent="0.35">
      <c r="B213" s="285" t="str">
        <f t="shared" si="407"/>
        <v>Skillevægskonstruktion_Brugerdefineret_2</v>
      </c>
      <c r="C213" s="652">
        <v>100</v>
      </c>
      <c r="D213" s="651">
        <v>0</v>
      </c>
      <c r="E213" s="651">
        <v>0</v>
      </c>
      <c r="F213" s="651">
        <v>0</v>
      </c>
      <c r="G213" s="651">
        <v>0</v>
      </c>
      <c r="H213" s="651">
        <v>0</v>
      </c>
      <c r="I213" s="651">
        <f t="shared" si="408"/>
        <v>0</v>
      </c>
      <c r="J213" s="651">
        <v>0</v>
      </c>
      <c r="K213" s="650" t="s">
        <v>288</v>
      </c>
      <c r="L213" s="650">
        <v>1</v>
      </c>
      <c r="M213" s="272"/>
      <c r="N213" s="272"/>
      <c r="O213" s="277">
        <f t="shared" si="409"/>
        <v>0</v>
      </c>
      <c r="P213" s="277">
        <f t="shared" si="410"/>
        <v>0</v>
      </c>
      <c r="Q213" s="277">
        <f t="shared" si="411"/>
        <v>0</v>
      </c>
      <c r="R213" s="277">
        <f t="shared" si="412"/>
        <v>0</v>
      </c>
      <c r="S213" s="277">
        <f t="shared" si="413"/>
        <v>0</v>
      </c>
      <c r="T213" s="294">
        <f t="shared" si="414"/>
        <v>0</v>
      </c>
      <c r="U213" s="277">
        <f t="shared" si="415"/>
        <v>0</v>
      </c>
      <c r="V213" s="272"/>
      <c r="W213" s="653" t="s">
        <v>281</v>
      </c>
      <c r="X213" s="277">
        <f t="shared" si="396"/>
        <v>0</v>
      </c>
      <c r="Y213" s="277"/>
      <c r="Z213" s="272"/>
      <c r="AA213" s="277"/>
      <c r="AB213" s="274"/>
      <c r="AC213" s="540">
        <f t="shared" si="379"/>
        <v>0</v>
      </c>
    </row>
    <row r="214" spans="2:29" x14ac:dyDescent="0.35">
      <c r="B214" s="285" t="str">
        <f t="shared" si="407"/>
        <v>Skillevægskonstruktion_Brugerdefineret_3</v>
      </c>
      <c r="C214" s="652">
        <v>100</v>
      </c>
      <c r="D214" s="651">
        <v>0</v>
      </c>
      <c r="E214" s="651">
        <v>0</v>
      </c>
      <c r="F214" s="651">
        <v>0</v>
      </c>
      <c r="G214" s="651">
        <v>0</v>
      </c>
      <c r="H214" s="651">
        <v>0</v>
      </c>
      <c r="I214" s="651">
        <f t="shared" si="408"/>
        <v>0</v>
      </c>
      <c r="J214" s="651">
        <v>0</v>
      </c>
      <c r="K214" s="650" t="s">
        <v>288</v>
      </c>
      <c r="L214" s="650">
        <v>1</v>
      </c>
      <c r="M214" s="272"/>
      <c r="N214" s="272"/>
      <c r="O214" s="277">
        <f t="shared" si="409"/>
        <v>0</v>
      </c>
      <c r="P214" s="277">
        <f t="shared" si="410"/>
        <v>0</v>
      </c>
      <c r="Q214" s="277">
        <f t="shared" si="411"/>
        <v>0</v>
      </c>
      <c r="R214" s="277">
        <f t="shared" si="412"/>
        <v>0</v>
      </c>
      <c r="S214" s="277">
        <f t="shared" si="413"/>
        <v>0</v>
      </c>
      <c r="T214" s="294">
        <f t="shared" si="414"/>
        <v>0</v>
      </c>
      <c r="U214" s="277">
        <f t="shared" si="415"/>
        <v>0</v>
      </c>
      <c r="V214" s="272"/>
      <c r="W214" s="653" t="s">
        <v>282</v>
      </c>
      <c r="X214" s="277">
        <f t="shared" si="396"/>
        <v>0</v>
      </c>
      <c r="Y214" s="277"/>
      <c r="Z214" s="272"/>
      <c r="AA214" s="277"/>
      <c r="AB214" s="274"/>
      <c r="AC214" s="540">
        <f t="shared" si="379"/>
        <v>0</v>
      </c>
    </row>
    <row r="215" spans="2:29" ht="23.5" hidden="1" x14ac:dyDescent="0.55000000000000004">
      <c r="B215" s="281" t="s">
        <v>131</v>
      </c>
      <c r="C215" s="286"/>
      <c r="D215" s="287" t="s">
        <v>359</v>
      </c>
      <c r="E215" s="287" t="s">
        <v>359</v>
      </c>
      <c r="F215" s="287" t="s">
        <v>359</v>
      </c>
      <c r="G215" s="287" t="s">
        <v>359</v>
      </c>
      <c r="H215" s="287" t="s">
        <v>359</v>
      </c>
      <c r="I215" s="287"/>
      <c r="J215" s="287" t="s">
        <v>359</v>
      </c>
      <c r="K215" s="287"/>
      <c r="L215" s="276" t="s">
        <v>360</v>
      </c>
      <c r="M215" s="272"/>
      <c r="N215" s="272"/>
      <c r="O215" s="282"/>
      <c r="P215" s="282"/>
      <c r="Q215" s="282"/>
      <c r="R215" s="282"/>
      <c r="S215" s="282"/>
      <c r="T215" s="282"/>
      <c r="U215" s="282"/>
      <c r="V215" s="272"/>
      <c r="W215" s="288" t="s">
        <v>103</v>
      </c>
      <c r="X215" s="275"/>
      <c r="Y215" s="277"/>
      <c r="Z215" s="272"/>
      <c r="AA215" s="277"/>
      <c r="AB215" s="274"/>
      <c r="AC215" s="295"/>
    </row>
    <row r="216" spans="2:29" hidden="1" x14ac:dyDescent="0.35">
      <c r="B216" s="271"/>
      <c r="C216" s="268">
        <v>200</v>
      </c>
      <c r="D216" s="287"/>
      <c r="E216" s="287"/>
      <c r="F216" s="287"/>
      <c r="G216" s="287"/>
      <c r="H216" s="287"/>
      <c r="I216" s="287"/>
      <c r="J216" s="287"/>
      <c r="K216" s="287"/>
      <c r="L216" s="287"/>
      <c r="M216" s="272"/>
      <c r="N216" s="272"/>
      <c r="O216" s="282"/>
      <c r="P216" s="282"/>
      <c r="Q216" s="282"/>
      <c r="R216" s="282"/>
      <c r="S216" s="282"/>
      <c r="T216" s="282"/>
      <c r="U216" s="282"/>
      <c r="V216" s="272"/>
      <c r="W216" s="288" t="s">
        <v>103</v>
      </c>
      <c r="X216" s="275"/>
      <c r="Y216" s="277"/>
      <c r="Z216" s="272"/>
      <c r="AA216" s="277"/>
      <c r="AB216" s="274"/>
      <c r="AC216" s="295"/>
    </row>
    <row r="217" spans="2:29" hidden="1" x14ac:dyDescent="0.35">
      <c r="B217" s="272" t="str">
        <f>$B$215&amp;"_"&amp;W217</f>
        <v>Varmerør_AluPEX</v>
      </c>
      <c r="C217" s="276">
        <v>40</v>
      </c>
      <c r="D217" s="277">
        <v>3.6581999999999999</v>
      </c>
      <c r="E217" s="277">
        <v>4.5626351999999999</v>
      </c>
      <c r="F217" s="277">
        <v>0</v>
      </c>
      <c r="G217" s="277">
        <v>0.90443519999999988</v>
      </c>
      <c r="H217" s="277">
        <v>0</v>
      </c>
      <c r="I217" s="277">
        <f>D217+G217+H217</f>
        <v>4.5626351999999999</v>
      </c>
      <c r="J217" s="277">
        <v>-4.6057439999999996</v>
      </c>
      <c r="K217" s="277" t="s">
        <v>270</v>
      </c>
      <c r="L217" s="277">
        <v>0.48</v>
      </c>
      <c r="M217" s="272"/>
      <c r="N217" s="272"/>
      <c r="O217" s="282">
        <f t="shared" ref="O217:U220" si="416">D217</f>
        <v>3.6581999999999999</v>
      </c>
      <c r="P217" s="282">
        <f t="shared" si="416"/>
        <v>4.5626351999999999</v>
      </c>
      <c r="Q217" s="282">
        <f t="shared" si="416"/>
        <v>0</v>
      </c>
      <c r="R217" s="282">
        <f t="shared" si="416"/>
        <v>0.90443519999999988</v>
      </c>
      <c r="S217" s="282">
        <f t="shared" si="416"/>
        <v>0</v>
      </c>
      <c r="T217" s="282">
        <f t="shared" si="416"/>
        <v>4.5626351999999999</v>
      </c>
      <c r="U217" s="282">
        <f t="shared" si="416"/>
        <v>-4.6057439999999996</v>
      </c>
      <c r="V217" s="272"/>
      <c r="W217" s="272" t="s">
        <v>247</v>
      </c>
      <c r="X217" s="277">
        <f>T217</f>
        <v>4.5626351999999999</v>
      </c>
      <c r="Y217" s="277"/>
      <c r="Z217" s="272"/>
      <c r="AA217" s="277"/>
      <c r="AB217" s="274"/>
      <c r="AC217" s="295"/>
    </row>
    <row r="218" spans="2:29" hidden="1" x14ac:dyDescent="0.35">
      <c r="B218" s="272" t="str">
        <f>$B$215&amp;"_"&amp;W218</f>
        <v>Varmerør_PEX</v>
      </c>
      <c r="C218" s="276">
        <v>40</v>
      </c>
      <c r="D218" s="277">
        <v>4.3905630999999996</v>
      </c>
      <c r="E218" s="277">
        <v>8.4228366999999995</v>
      </c>
      <c r="F218" s="277">
        <v>0</v>
      </c>
      <c r="G218" s="277">
        <v>4.0322735999999999</v>
      </c>
      <c r="H218" s="277">
        <v>0</v>
      </c>
      <c r="I218" s="277">
        <f>D218+G218+H218</f>
        <v>8.4228366999999995</v>
      </c>
      <c r="J218" s="277">
        <v>-3.6499625999999998</v>
      </c>
      <c r="K218" s="277" t="s">
        <v>270</v>
      </c>
      <c r="L218" s="277">
        <v>1.07</v>
      </c>
      <c r="M218" s="272"/>
      <c r="N218" s="272"/>
      <c r="O218" s="282">
        <f t="shared" si="416"/>
        <v>4.3905630999999996</v>
      </c>
      <c r="P218" s="282">
        <f t="shared" si="416"/>
        <v>8.4228366999999995</v>
      </c>
      <c r="Q218" s="282">
        <f t="shared" si="416"/>
        <v>0</v>
      </c>
      <c r="R218" s="282">
        <f t="shared" si="416"/>
        <v>4.0322735999999999</v>
      </c>
      <c r="S218" s="282">
        <f t="shared" si="416"/>
        <v>0</v>
      </c>
      <c r="T218" s="282">
        <f t="shared" si="416"/>
        <v>8.4228366999999995</v>
      </c>
      <c r="U218" s="282">
        <f t="shared" si="416"/>
        <v>-3.6499625999999998</v>
      </c>
      <c r="V218" s="272"/>
      <c r="W218" s="272" t="s">
        <v>182</v>
      </c>
      <c r="X218" s="277">
        <f>T218</f>
        <v>8.4228366999999995</v>
      </c>
      <c r="Y218" s="277"/>
      <c r="Z218" s="272"/>
      <c r="AA218" s="277"/>
      <c r="AB218" s="274"/>
      <c r="AC218" s="295"/>
    </row>
    <row r="219" spans="2:29" hidden="1" x14ac:dyDescent="0.35">
      <c r="B219" s="272" t="str">
        <f>$B$215&amp;"_"&amp;W219</f>
        <v>Varmerør_Rustfast_stål</v>
      </c>
      <c r="C219" s="276">
        <v>60</v>
      </c>
      <c r="D219" s="277">
        <v>7.3319931999999994</v>
      </c>
      <c r="E219" s="277">
        <v>0</v>
      </c>
      <c r="F219" s="277">
        <v>0</v>
      </c>
      <c r="G219" s="277">
        <v>0</v>
      </c>
      <c r="H219" s="277">
        <v>1.4050642E-3</v>
      </c>
      <c r="I219" s="277">
        <f>D219+G219+H219</f>
        <v>7.3333982641999995</v>
      </c>
      <c r="J219" s="277">
        <v>-5.4873662000000003</v>
      </c>
      <c r="K219" s="277" t="s">
        <v>270</v>
      </c>
      <c r="L219" s="277">
        <v>2.06</v>
      </c>
      <c r="M219" s="272"/>
      <c r="N219" s="272"/>
      <c r="O219" s="282">
        <f t="shared" si="416"/>
        <v>7.3319931999999994</v>
      </c>
      <c r="P219" s="282">
        <f t="shared" si="416"/>
        <v>0</v>
      </c>
      <c r="Q219" s="282">
        <f t="shared" si="416"/>
        <v>0</v>
      </c>
      <c r="R219" s="282">
        <f t="shared" si="416"/>
        <v>0</v>
      </c>
      <c r="S219" s="282">
        <f t="shared" si="416"/>
        <v>1.4050642E-3</v>
      </c>
      <c r="T219" s="282">
        <f t="shared" si="416"/>
        <v>7.3333982641999995</v>
      </c>
      <c r="U219" s="282">
        <f t="shared" si="416"/>
        <v>-5.4873662000000003</v>
      </c>
      <c r="V219" s="272"/>
      <c r="W219" s="272" t="str">
        <f>Dropdown!X1</f>
        <v>Rustfast_stål</v>
      </c>
      <c r="X219" s="277">
        <f>T219</f>
        <v>7.3333982641999995</v>
      </c>
      <c r="Y219" s="277"/>
      <c r="Z219" s="272"/>
      <c r="AA219" s="277"/>
      <c r="AB219" s="274"/>
      <c r="AC219" s="295"/>
    </row>
    <row r="220" spans="2:29" hidden="1" x14ac:dyDescent="0.35">
      <c r="B220" s="272" t="str">
        <f>$B$215&amp;"_"&amp;W220</f>
        <v>Varmerør_Kobber</v>
      </c>
      <c r="C220" s="276">
        <v>60</v>
      </c>
      <c r="D220" s="277">
        <v>1.5168999999999999</v>
      </c>
      <c r="E220" s="277">
        <v>0</v>
      </c>
      <c r="F220" s="277">
        <v>0</v>
      </c>
      <c r="G220" s="277">
        <v>0</v>
      </c>
      <c r="H220" s="277">
        <v>7.3072999999999996E-4</v>
      </c>
      <c r="I220" s="277">
        <f>D220+G220+H220</f>
        <v>1.5176307299999998</v>
      </c>
      <c r="J220" s="277">
        <v>-0.56440999999999997</v>
      </c>
      <c r="K220" s="277" t="s">
        <v>270</v>
      </c>
      <c r="L220" s="277">
        <v>0.77</v>
      </c>
      <c r="M220" s="272"/>
      <c r="N220" s="272"/>
      <c r="O220" s="282">
        <f t="shared" si="416"/>
        <v>1.5168999999999999</v>
      </c>
      <c r="P220" s="282">
        <f t="shared" si="416"/>
        <v>0</v>
      </c>
      <c r="Q220" s="282">
        <f t="shared" si="416"/>
        <v>0</v>
      </c>
      <c r="R220" s="282">
        <f t="shared" si="416"/>
        <v>0</v>
      </c>
      <c r="S220" s="282">
        <f t="shared" si="416"/>
        <v>7.3072999999999996E-4</v>
      </c>
      <c r="T220" s="282">
        <f t="shared" si="416"/>
        <v>1.5176307299999998</v>
      </c>
      <c r="U220" s="282">
        <f t="shared" si="416"/>
        <v>-0.56440999999999997</v>
      </c>
      <c r="V220" s="272"/>
      <c r="W220" s="272" t="s">
        <v>180</v>
      </c>
      <c r="X220" s="277">
        <f>T220</f>
        <v>1.5176307299999998</v>
      </c>
      <c r="Y220" s="277"/>
      <c r="Z220" s="272"/>
      <c r="AA220" s="277"/>
      <c r="AB220" s="274"/>
      <c r="AC220" s="295"/>
    </row>
    <row r="221" spans="2:29" hidden="1" x14ac:dyDescent="0.35">
      <c r="B221" s="272"/>
      <c r="C221" s="276"/>
      <c r="D221" s="277"/>
      <c r="E221" s="277"/>
      <c r="F221" s="277"/>
      <c r="G221" s="277"/>
      <c r="H221" s="277"/>
      <c r="I221" s="275">
        <f>D221+G221+H221</f>
        <v>0</v>
      </c>
      <c r="J221" s="277"/>
      <c r="K221" s="277"/>
      <c r="L221" s="277"/>
      <c r="M221" s="272"/>
      <c r="N221" s="272"/>
      <c r="O221" s="282"/>
      <c r="P221" s="282"/>
      <c r="Q221" s="282"/>
      <c r="R221" s="282"/>
      <c r="S221" s="282"/>
      <c r="T221" s="282"/>
      <c r="U221" s="282"/>
      <c r="V221" s="272"/>
      <c r="W221" s="288" t="s">
        <v>302</v>
      </c>
      <c r="X221" s="275">
        <f>T221</f>
        <v>0</v>
      </c>
      <c r="Y221" s="277"/>
      <c r="Z221" s="272"/>
      <c r="AA221" s="277"/>
      <c r="AB221" s="274"/>
      <c r="AC221" s="295"/>
    </row>
    <row r="222" spans="2:29" hidden="1" x14ac:dyDescent="0.35">
      <c r="B222" s="274" t="str">
        <f>$B$215&amp;"_"&amp;W222</f>
        <v>Varmerør_Uændret</v>
      </c>
      <c r="C222" s="276"/>
      <c r="D222" s="277"/>
      <c r="E222" s="277"/>
      <c r="F222" s="277"/>
      <c r="G222" s="277"/>
      <c r="H222" s="277"/>
      <c r="I222" s="277"/>
      <c r="J222" s="277"/>
      <c r="K222" s="277"/>
      <c r="L222" s="277"/>
      <c r="M222" s="272"/>
      <c r="N222" s="272"/>
      <c r="O222" s="282"/>
      <c r="P222" s="282"/>
      <c r="Q222" s="282"/>
      <c r="R222" s="282"/>
      <c r="S222" s="282"/>
      <c r="T222" s="282"/>
      <c r="U222" s="282"/>
      <c r="V222" s="272"/>
      <c r="W222" s="288" t="s">
        <v>361</v>
      </c>
      <c r="X222" s="275">
        <f>I222</f>
        <v>0</v>
      </c>
      <c r="Y222" s="277"/>
      <c r="Z222" s="272"/>
      <c r="AA222" s="277"/>
      <c r="AB222" s="274"/>
      <c r="AC222" s="295"/>
    </row>
    <row r="223" spans="2:29" ht="23.5" hidden="1" x14ac:dyDescent="0.55000000000000004">
      <c r="B223" s="281" t="s">
        <v>137</v>
      </c>
      <c r="C223" s="268">
        <v>200</v>
      </c>
      <c r="D223" s="277"/>
      <c r="E223" s="277"/>
      <c r="F223" s="277"/>
      <c r="G223" s="277"/>
      <c r="H223" s="277"/>
      <c r="I223" s="277"/>
      <c r="J223" s="277"/>
      <c r="K223" s="276"/>
      <c r="L223" s="268" t="s">
        <v>362</v>
      </c>
      <c r="M223" s="274" t="s">
        <v>363</v>
      </c>
      <c r="N223" s="274"/>
      <c r="O223" s="289" t="s">
        <v>364</v>
      </c>
      <c r="P223" s="282"/>
      <c r="Q223" s="282"/>
      <c r="R223" s="282"/>
      <c r="S223" s="282"/>
      <c r="T223" s="282"/>
      <c r="U223" s="282"/>
      <c r="V223" s="272"/>
      <c r="W223" s="288" t="str">
        <f>Dropdown!AF1</f>
        <v>Angiv_ikke</v>
      </c>
      <c r="X223" s="275"/>
      <c r="Y223" s="277"/>
      <c r="Z223" s="272"/>
      <c r="AA223" s="277"/>
      <c r="AB223" s="274"/>
      <c r="AC223" s="295"/>
    </row>
    <row r="224" spans="2:29" hidden="1" x14ac:dyDescent="0.35">
      <c r="B224" s="272" t="str">
        <f>$B$223&amp;"_"&amp;W224</f>
        <v>Rørisolering_Mineraluld rørskål</v>
      </c>
      <c r="C224" s="276">
        <v>40</v>
      </c>
      <c r="D224" s="277">
        <v>58.957986754966889</v>
      </c>
      <c r="E224" s="277">
        <v>58.961022196026491</v>
      </c>
      <c r="F224" s="277">
        <v>0</v>
      </c>
      <c r="G224" s="277">
        <v>3.035441059602649E-3</v>
      </c>
      <c r="H224" s="277">
        <v>0</v>
      </c>
      <c r="I224" s="277">
        <f>D224+G224+H224</f>
        <v>58.961022196026491</v>
      </c>
      <c r="J224" s="277">
        <v>0</v>
      </c>
      <c r="K224" s="277" t="s">
        <v>270</v>
      </c>
      <c r="L224" s="277">
        <v>50</v>
      </c>
      <c r="M224" s="272">
        <v>150</v>
      </c>
      <c r="N224" s="272"/>
      <c r="O224" s="282">
        <f>D224/$L$224/$M$224</f>
        <v>7.8610649006622506E-3</v>
      </c>
      <c r="P224" s="282">
        <f>E224/L224/M224</f>
        <v>7.8614696261368657E-3</v>
      </c>
      <c r="Q224" s="282">
        <f>F224/L224/M224</f>
        <v>0</v>
      </c>
      <c r="R224" s="282">
        <f>G224/L224/M224</f>
        <v>4.0472547461368653E-7</v>
      </c>
      <c r="S224" s="282">
        <f>H224/L224/M224</f>
        <v>0</v>
      </c>
      <c r="T224" s="290">
        <f>I224/L224/M224</f>
        <v>7.8614696261368657E-3</v>
      </c>
      <c r="U224" s="282">
        <f>J224/L224/M224</f>
        <v>0</v>
      </c>
      <c r="V224" s="272"/>
      <c r="W224" s="272" t="s">
        <v>365</v>
      </c>
      <c r="X224" s="277">
        <f t="shared" ref="X224:X229" si="417">T224</f>
        <v>7.8614696261368657E-3</v>
      </c>
      <c r="Y224" s="277"/>
      <c r="Z224" s="272"/>
      <c r="AA224" s="277"/>
      <c r="AB224" s="274"/>
      <c r="AC224" s="295"/>
    </row>
    <row r="225" spans="2:40" hidden="1" x14ac:dyDescent="0.35">
      <c r="B225" s="272" t="str">
        <f>$B$223&amp;"_"&amp;W225</f>
        <v>Rørisolering_PU skum</v>
      </c>
      <c r="C225" s="276">
        <v>40</v>
      </c>
      <c r="D225" s="277">
        <v>6.6705281999999988</v>
      </c>
      <c r="E225" s="277">
        <v>6.7612977386666664</v>
      </c>
      <c r="F225" s="277">
        <v>0</v>
      </c>
      <c r="G225" s="277">
        <v>9.0769538666666649E-2</v>
      </c>
      <c r="H225" s="277">
        <v>0</v>
      </c>
      <c r="I225" s="277">
        <f>D225+G225+H225</f>
        <v>6.7612977386666655</v>
      </c>
      <c r="J225" s="277">
        <v>-8.4073021999999997E-2</v>
      </c>
      <c r="K225" s="277" t="s">
        <v>270</v>
      </c>
      <c r="L225" s="277">
        <v>50</v>
      </c>
      <c r="M225" s="272">
        <v>150</v>
      </c>
      <c r="N225" s="272"/>
      <c r="O225" s="282">
        <f>D225/$L$224/$M$224</f>
        <v>8.8940375999999987E-4</v>
      </c>
      <c r="P225" s="282">
        <f>E225/L225/M225</f>
        <v>9.0150636515555548E-4</v>
      </c>
      <c r="Q225" s="282">
        <f>F225/L225/M225</f>
        <v>0</v>
      </c>
      <c r="R225" s="282">
        <f>G225/L225/M225</f>
        <v>1.2102605155555553E-5</v>
      </c>
      <c r="S225" s="282">
        <f>H225/L225/M225</f>
        <v>0</v>
      </c>
      <c r="T225" s="290">
        <f>I225/L225/M225</f>
        <v>9.0150636515555548E-4</v>
      </c>
      <c r="U225" s="282">
        <f>J225/L225/M225</f>
        <v>-1.1209736266666667E-5</v>
      </c>
      <c r="V225" s="272"/>
      <c r="W225" s="272" t="s">
        <v>366</v>
      </c>
      <c r="X225" s="282">
        <f t="shared" si="417"/>
        <v>9.0150636515555548E-4</v>
      </c>
      <c r="Y225" s="277"/>
      <c r="Z225" s="272"/>
      <c r="AA225" s="277"/>
      <c r="AB225" s="274"/>
      <c r="AC225" s="295"/>
    </row>
    <row r="226" spans="2:40" hidden="1" x14ac:dyDescent="0.35">
      <c r="B226" s="272" t="str">
        <f>$B$223&amp;"_"&amp;W226</f>
        <v>Rørisolering_EPDM</v>
      </c>
      <c r="C226" s="276">
        <v>40</v>
      </c>
      <c r="D226" s="277">
        <v>7.6385406818181814</v>
      </c>
      <c r="E226" s="277">
        <v>11.92958536909091</v>
      </c>
      <c r="F226" s="277">
        <v>0</v>
      </c>
      <c r="G226" s="277">
        <v>4.2910446872727261</v>
      </c>
      <c r="H226" s="277">
        <v>0</v>
      </c>
      <c r="I226" s="277">
        <f>D226+G226+H226</f>
        <v>11.929585369090908</v>
      </c>
      <c r="J226" s="277">
        <v>-4.3357805934545448</v>
      </c>
      <c r="K226" s="277" t="s">
        <v>270</v>
      </c>
      <c r="L226" s="277">
        <v>50</v>
      </c>
      <c r="M226" s="272">
        <v>150</v>
      </c>
      <c r="N226" s="272"/>
      <c r="O226" s="282">
        <f>D226/$L$224/$M$224</f>
        <v>1.0184720909090909E-3</v>
      </c>
      <c r="P226" s="282">
        <f>E226/L226/M226</f>
        <v>1.5906113825454548E-3</v>
      </c>
      <c r="Q226" s="282">
        <f>F226/L226/M226</f>
        <v>0</v>
      </c>
      <c r="R226" s="282">
        <f>G226/L226/M226</f>
        <v>5.7213929163636354E-4</v>
      </c>
      <c r="S226" s="282">
        <f>H226/L226/M226</f>
        <v>0</v>
      </c>
      <c r="T226" s="290">
        <f>I226/L226/M226</f>
        <v>1.5906113825454545E-3</v>
      </c>
      <c r="U226" s="282">
        <f>J226/L226/M226</f>
        <v>-5.7810407912727263E-4</v>
      </c>
      <c r="V226" s="272"/>
      <c r="W226" s="272" t="s">
        <v>367</v>
      </c>
      <c r="X226" s="282">
        <f t="shared" si="417"/>
        <v>1.5906113825454545E-3</v>
      </c>
      <c r="Y226" s="277"/>
      <c r="Z226" s="272"/>
      <c r="AA226" s="277"/>
      <c r="AB226" s="274"/>
      <c r="AC226" s="295"/>
    </row>
    <row r="227" spans="2:40" hidden="1" x14ac:dyDescent="0.35">
      <c r="B227" s="272" t="str">
        <f>$B$223&amp;"_"&amp;W227</f>
        <v>Rørisolering_Brugerdefineret_1</v>
      </c>
      <c r="C227" s="291"/>
      <c r="D227" s="292"/>
      <c r="E227" s="292"/>
      <c r="F227" s="292"/>
      <c r="G227" s="292"/>
      <c r="H227" s="292"/>
      <c r="I227" s="277">
        <f>D227+G227+H227</f>
        <v>0</v>
      </c>
      <c r="J227" s="292"/>
      <c r="K227" s="292"/>
      <c r="L227" s="292"/>
      <c r="M227" s="272"/>
      <c r="N227" s="272"/>
      <c r="O227" s="277" t="e">
        <f t="shared" ref="O227:U228" si="418">D227/L227</f>
        <v>#DIV/0!</v>
      </c>
      <c r="P227" s="277" t="e">
        <f t="shared" si="418"/>
        <v>#DIV/0!</v>
      </c>
      <c r="Q227" s="277" t="e">
        <f t="shared" si="418"/>
        <v>#DIV/0!</v>
      </c>
      <c r="R227" s="277" t="e">
        <f t="shared" si="418"/>
        <v>#DIV/0!</v>
      </c>
      <c r="S227" s="277" t="e">
        <f t="shared" si="418"/>
        <v>#DIV/0!</v>
      </c>
      <c r="T227" s="277" t="e">
        <f t="shared" si="418"/>
        <v>#DIV/0!</v>
      </c>
      <c r="U227" s="277" t="e">
        <f t="shared" si="418"/>
        <v>#DIV/0!</v>
      </c>
      <c r="V227" s="272"/>
      <c r="W227" s="293" t="s">
        <v>280</v>
      </c>
      <c r="X227" s="282" t="e">
        <f t="shared" si="417"/>
        <v>#DIV/0!</v>
      </c>
      <c r="Y227" s="277"/>
      <c r="Z227" s="272"/>
      <c r="AA227" s="277"/>
      <c r="AB227" s="274"/>
      <c r="AC227" s="295"/>
    </row>
    <row r="228" spans="2:40" hidden="1" x14ac:dyDescent="0.35">
      <c r="B228" s="272" t="str">
        <f>$B$223&amp;"_"&amp;W228</f>
        <v>Rørisolering_Brugerdefineret_2</v>
      </c>
      <c r="C228" s="291"/>
      <c r="D228" s="292"/>
      <c r="E228" s="292"/>
      <c r="F228" s="292"/>
      <c r="G228" s="292"/>
      <c r="H228" s="292"/>
      <c r="I228" s="277">
        <f>D228+G228+H228</f>
        <v>0</v>
      </c>
      <c r="J228" s="292"/>
      <c r="K228" s="292"/>
      <c r="L228" s="292"/>
      <c r="M228" s="272"/>
      <c r="N228" s="272"/>
      <c r="O228" s="277" t="e">
        <f t="shared" si="418"/>
        <v>#DIV/0!</v>
      </c>
      <c r="P228" s="277" t="e">
        <f t="shared" si="418"/>
        <v>#DIV/0!</v>
      </c>
      <c r="Q228" s="277" t="e">
        <f t="shared" si="418"/>
        <v>#DIV/0!</v>
      </c>
      <c r="R228" s="277" t="e">
        <f t="shared" si="418"/>
        <v>#DIV/0!</v>
      </c>
      <c r="S228" s="277" t="e">
        <f t="shared" si="418"/>
        <v>#DIV/0!</v>
      </c>
      <c r="T228" s="277" t="e">
        <f t="shared" si="418"/>
        <v>#DIV/0!</v>
      </c>
      <c r="U228" s="277" t="e">
        <f t="shared" si="418"/>
        <v>#DIV/0!</v>
      </c>
      <c r="V228" s="272"/>
      <c r="W228" s="293" t="s">
        <v>281</v>
      </c>
      <c r="X228" s="282" t="e">
        <f t="shared" si="417"/>
        <v>#DIV/0!</v>
      </c>
      <c r="Y228" s="277"/>
      <c r="Z228" s="272"/>
      <c r="AA228" s="277"/>
      <c r="AB228" s="274"/>
      <c r="AC228" s="295"/>
    </row>
    <row r="229" spans="2:40" hidden="1" x14ac:dyDescent="0.35">
      <c r="B229" s="274" t="str">
        <f>B223&amp;"_"&amp;W230</f>
        <v>Rørisolering_Ingen isolering</v>
      </c>
      <c r="C229" s="274"/>
      <c r="D229" s="274"/>
      <c r="E229" s="274"/>
      <c r="F229" s="274"/>
      <c r="G229" s="274"/>
      <c r="H229" s="274"/>
      <c r="I229" s="274"/>
      <c r="J229" s="274"/>
      <c r="K229" s="274"/>
      <c r="L229" s="268"/>
      <c r="M229" s="274"/>
      <c r="N229" s="274"/>
      <c r="O229" s="274"/>
      <c r="P229" s="274"/>
      <c r="Q229" s="274"/>
      <c r="R229" s="274"/>
      <c r="S229" s="274"/>
      <c r="T229" s="274"/>
      <c r="U229" s="274"/>
      <c r="V229" s="274"/>
      <c r="W229" s="274" t="s">
        <v>302</v>
      </c>
      <c r="X229" s="275">
        <f t="shared" si="417"/>
        <v>0</v>
      </c>
      <c r="Y229" s="277"/>
      <c r="Z229" s="272"/>
      <c r="AA229" s="277"/>
      <c r="AB229" s="274"/>
      <c r="AC229" s="295"/>
    </row>
    <row r="230" spans="2:40" ht="23.5" hidden="1" x14ac:dyDescent="0.55000000000000004">
      <c r="B230" s="281" t="s">
        <v>368</v>
      </c>
      <c r="C230" s="268">
        <v>200</v>
      </c>
      <c r="D230" s="274"/>
      <c r="E230" s="274"/>
      <c r="F230" s="274"/>
      <c r="G230" s="274"/>
      <c r="H230" s="274"/>
      <c r="I230" s="274"/>
      <c r="J230" s="274"/>
      <c r="K230" s="274"/>
      <c r="L230" s="286" t="s">
        <v>369</v>
      </c>
      <c r="M230" s="274"/>
      <c r="N230" s="274"/>
      <c r="O230" s="274"/>
      <c r="P230" s="274"/>
      <c r="Q230" s="274"/>
      <c r="R230" s="274"/>
      <c r="S230" s="274"/>
      <c r="T230" s="274"/>
      <c r="U230" s="274"/>
      <c r="V230" s="274"/>
      <c r="W230" s="274" t="s">
        <v>295</v>
      </c>
      <c r="X230" s="275"/>
      <c r="Y230" s="277"/>
      <c r="Z230" s="272"/>
      <c r="AA230" s="277"/>
      <c r="AB230" s="274"/>
      <c r="AC230" s="295"/>
    </row>
    <row r="231" spans="2:40" hidden="1" x14ac:dyDescent="0.35">
      <c r="B231" s="272"/>
      <c r="C231" s="276">
        <v>120</v>
      </c>
      <c r="D231" s="277">
        <v>6.0140000000000002</v>
      </c>
      <c r="E231" s="277"/>
      <c r="F231" s="277"/>
      <c r="G231" s="277"/>
      <c r="H231" s="277">
        <f>0.006002</f>
        <v>6.0020000000000004E-3</v>
      </c>
      <c r="I231" s="277">
        <f>D231+H231</f>
        <v>6.0200019999999999</v>
      </c>
      <c r="J231" s="276"/>
      <c r="K231" s="276"/>
      <c r="L231" s="276">
        <v>8.8000000000000007</v>
      </c>
      <c r="M231" s="272"/>
      <c r="N231" s="272"/>
      <c r="O231" s="294">
        <f t="shared" ref="O231:U231" si="419">D231/$L$231</f>
        <v>0.68340909090909085</v>
      </c>
      <c r="P231" s="294">
        <f t="shared" si="419"/>
        <v>0</v>
      </c>
      <c r="Q231" s="294">
        <f t="shared" si="419"/>
        <v>0</v>
      </c>
      <c r="R231" s="294">
        <f t="shared" si="419"/>
        <v>0</v>
      </c>
      <c r="S231" s="294">
        <f t="shared" si="419"/>
        <v>6.8204545454545449E-4</v>
      </c>
      <c r="T231" s="294">
        <f t="shared" si="419"/>
        <v>0.68409113636363628</v>
      </c>
      <c r="U231" s="294">
        <f t="shared" si="419"/>
        <v>0</v>
      </c>
      <c r="V231" s="272"/>
      <c r="W231" s="272"/>
      <c r="X231" s="272"/>
      <c r="Y231" s="277"/>
      <c r="Z231" s="272"/>
      <c r="AA231" s="277"/>
      <c r="AB231" s="274"/>
      <c r="AC231" s="295"/>
    </row>
    <row r="232" spans="2:40" hidden="1" x14ac:dyDescent="0.35">
      <c r="Y232" s="272"/>
      <c r="Z232" s="272"/>
      <c r="AA232" s="272"/>
      <c r="AB232" s="274"/>
      <c r="AC232" s="295"/>
    </row>
    <row r="233" spans="2:40" hidden="1" x14ac:dyDescent="0.35">
      <c r="Y233" s="272"/>
      <c r="Z233" s="272"/>
      <c r="AA233" s="272"/>
      <c r="AB233" s="274"/>
      <c r="AC233" s="295"/>
    </row>
    <row r="234" spans="2:40" hidden="1" x14ac:dyDescent="0.35">
      <c r="B234" s="271" t="s">
        <v>370</v>
      </c>
      <c r="C234" s="271" t="e">
        <f>VLOOKUP(Scenarier!J465,'LCA data'!B235:C238,2,FALSE)</f>
        <v>#N/A</v>
      </c>
      <c r="Y234" s="272"/>
      <c r="Z234" s="272"/>
      <c r="AA234" s="272"/>
      <c r="AB234" s="274"/>
      <c r="AC234" s="295"/>
    </row>
    <row r="235" spans="2:40" hidden="1" x14ac:dyDescent="0.35">
      <c r="B235" s="272" t="str">
        <f>Dropdown!AB1</f>
        <v>aluPEX</v>
      </c>
      <c r="C235" s="294" t="e">
        <f>VLOOKUP(Scenarier!K465,Dropdown!AB2:AC9,2,FALSE)/L217</f>
        <v>#N/A</v>
      </c>
      <c r="Y235" s="272"/>
      <c r="Z235" s="272"/>
      <c r="AA235" s="272"/>
      <c r="AB235" s="274"/>
      <c r="AC235" s="295"/>
    </row>
    <row r="236" spans="2:40" hidden="1" x14ac:dyDescent="0.35">
      <c r="B236" s="272" t="str">
        <f>Dropdown!Z1</f>
        <v>PEX</v>
      </c>
      <c r="C236" s="294" t="e">
        <f>VLOOKUP(Scenarier!K465,Dropdown!Z2:AA14,2,FALSE)/L218</f>
        <v>#N/A</v>
      </c>
      <c r="Y236" s="272"/>
      <c r="Z236" s="272"/>
      <c r="AA236" s="272"/>
      <c r="AB236" s="274"/>
      <c r="AC236" s="295"/>
    </row>
    <row r="237" spans="2:40" hidden="1" x14ac:dyDescent="0.35">
      <c r="B237" s="272" t="str">
        <f>Dropdown!X1</f>
        <v>Rustfast_stål</v>
      </c>
      <c r="C237" s="294" t="e">
        <f>VLOOKUP(Scenarier!K465,Dropdown!X2:Y11,2,FALSE)/L219</f>
        <v>#N/A</v>
      </c>
      <c r="Y237" s="272"/>
      <c r="Z237" s="272"/>
      <c r="AA237" s="272"/>
      <c r="AB237" s="274"/>
      <c r="AC237" s="295"/>
    </row>
    <row r="238" spans="2:40" hidden="1" x14ac:dyDescent="0.35">
      <c r="B238" s="272" t="str">
        <f>Dropdown!AD1</f>
        <v>Kobber</v>
      </c>
      <c r="C238" s="294" t="e">
        <f>VLOOKUP(Scenarier!K465,Dropdown!AD2:AE12,2,FALSE)/L220</f>
        <v>#N/A</v>
      </c>
      <c r="Y238" s="272"/>
      <c r="Z238" s="272"/>
      <c r="AA238" s="272"/>
      <c r="AB238" s="274"/>
      <c r="AC238" s="295"/>
      <c r="AN238" s="256" t="s">
        <v>976</v>
      </c>
    </row>
    <row r="239" spans="2:40" x14ac:dyDescent="0.35">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4"/>
      <c r="AC239" s="295"/>
    </row>
    <row r="240" spans="2:40" ht="31" x14ac:dyDescent="0.55000000000000004">
      <c r="B240" s="281" t="s">
        <v>371</v>
      </c>
      <c r="C240" s="274">
        <v>1000</v>
      </c>
      <c r="D240" s="272"/>
      <c r="E240" s="272"/>
      <c r="F240" s="272"/>
      <c r="G240" s="272"/>
      <c r="H240" s="272"/>
      <c r="I240" s="272"/>
      <c r="J240" s="272"/>
      <c r="K240" s="272"/>
      <c r="L240" s="272"/>
      <c r="M240" s="272"/>
      <c r="N240" s="272"/>
      <c r="O240" s="266" t="s">
        <v>372</v>
      </c>
      <c r="P240" s="266" t="s">
        <v>372</v>
      </c>
      <c r="Q240" s="266" t="s">
        <v>372</v>
      </c>
      <c r="R240" s="266" t="s">
        <v>372</v>
      </c>
      <c r="S240" s="266" t="s">
        <v>372</v>
      </c>
      <c r="T240" s="266" t="s">
        <v>372</v>
      </c>
      <c r="U240" s="266" t="s">
        <v>372</v>
      </c>
      <c r="V240" s="272"/>
      <c r="W240" s="272"/>
      <c r="X240" s="272"/>
      <c r="Y240" s="272"/>
      <c r="Z240" s="272"/>
      <c r="AA240" s="272"/>
      <c r="AB240" s="274"/>
      <c r="AC240" s="560"/>
    </row>
    <row r="241" spans="2:29" ht="16.5" customHeight="1" x14ac:dyDescent="0.35">
      <c r="B241" s="272" t="s">
        <v>153</v>
      </c>
      <c r="C241" s="296"/>
      <c r="D241" s="272"/>
      <c r="E241" s="272"/>
      <c r="F241" s="272"/>
      <c r="G241" s="272"/>
      <c r="H241" s="272"/>
      <c r="I241" s="272"/>
      <c r="J241" s="272"/>
      <c r="K241" s="272"/>
      <c r="L241" s="272"/>
      <c r="M241" s="272"/>
      <c r="N241" s="272"/>
      <c r="O241" s="297">
        <v>0</v>
      </c>
      <c r="P241" s="297">
        <v>0</v>
      </c>
      <c r="Q241" s="297">
        <v>0</v>
      </c>
      <c r="R241" s="297">
        <v>0</v>
      </c>
      <c r="S241" s="297">
        <v>0</v>
      </c>
      <c r="T241" s="297">
        <v>0</v>
      </c>
      <c r="U241" s="297">
        <v>0</v>
      </c>
      <c r="V241" s="272"/>
      <c r="W241" s="272" t="s">
        <v>153</v>
      </c>
      <c r="X241" s="272"/>
      <c r="Y241" s="272"/>
      <c r="Z241" s="272"/>
      <c r="AA241" s="272"/>
      <c r="AB241" s="274"/>
      <c r="AC241" s="295"/>
    </row>
    <row r="242" spans="2:29" x14ac:dyDescent="0.35">
      <c r="B242" s="272" t="s">
        <v>373</v>
      </c>
      <c r="C242" s="276">
        <v>50</v>
      </c>
      <c r="D242" s="276">
        <v>36120</v>
      </c>
      <c r="E242" s="276">
        <v>0</v>
      </c>
      <c r="F242" s="276">
        <v>0</v>
      </c>
      <c r="G242" s="276">
        <v>5880</v>
      </c>
      <c r="H242" s="276">
        <v>0</v>
      </c>
      <c r="I242" s="276">
        <v>42000</v>
      </c>
      <c r="J242" s="276">
        <v>-17640</v>
      </c>
      <c r="K242" s="276" t="s">
        <v>270</v>
      </c>
      <c r="L242" s="276">
        <v>1000</v>
      </c>
      <c r="M242" s="272"/>
      <c r="N242" s="272"/>
      <c r="O242" s="272">
        <f t="shared" ref="O242:U242" si="420">D242/$L$242</f>
        <v>36.119999999999997</v>
      </c>
      <c r="P242" s="272">
        <f t="shared" si="420"/>
        <v>0</v>
      </c>
      <c r="Q242" s="272">
        <f t="shared" si="420"/>
        <v>0</v>
      </c>
      <c r="R242" s="272">
        <f t="shared" si="420"/>
        <v>5.88</v>
      </c>
      <c r="S242" s="272">
        <f t="shared" si="420"/>
        <v>0</v>
      </c>
      <c r="T242" s="272">
        <f t="shared" si="420"/>
        <v>42</v>
      </c>
      <c r="U242" s="272">
        <f t="shared" si="420"/>
        <v>-17.64</v>
      </c>
      <c r="V242" s="272"/>
      <c r="W242" s="272" t="s">
        <v>373</v>
      </c>
      <c r="X242" s="272"/>
      <c r="Y242" s="272"/>
      <c r="Z242" s="272"/>
      <c r="AA242" s="272"/>
      <c r="AB242" s="274"/>
      <c r="AC242" s="295"/>
    </row>
    <row r="243" spans="2:29" x14ac:dyDescent="0.35">
      <c r="B243" s="272" t="s">
        <v>374</v>
      </c>
      <c r="C243" s="276">
        <v>50</v>
      </c>
      <c r="D243" s="276">
        <v>46870</v>
      </c>
      <c r="E243" s="276">
        <v>0</v>
      </c>
      <c r="F243" s="276">
        <v>0</v>
      </c>
      <c r="G243" s="276">
        <v>7630</v>
      </c>
      <c r="H243" s="276">
        <v>0</v>
      </c>
      <c r="I243" s="276">
        <v>54500</v>
      </c>
      <c r="J243" s="276">
        <v>-22890</v>
      </c>
      <c r="K243" s="276" t="s">
        <v>270</v>
      </c>
      <c r="L243" s="276">
        <v>1000</v>
      </c>
      <c r="M243" s="272"/>
      <c r="N243" s="272"/>
      <c r="O243" s="272">
        <f t="shared" ref="O243:U243" si="421">D243/$L$243</f>
        <v>46.87</v>
      </c>
      <c r="P243" s="272">
        <f t="shared" si="421"/>
        <v>0</v>
      </c>
      <c r="Q243" s="272">
        <f t="shared" si="421"/>
        <v>0</v>
      </c>
      <c r="R243" s="272">
        <f t="shared" si="421"/>
        <v>7.63</v>
      </c>
      <c r="S243" s="272">
        <f t="shared" si="421"/>
        <v>0</v>
      </c>
      <c r="T243" s="272">
        <f t="shared" si="421"/>
        <v>54.5</v>
      </c>
      <c r="U243" s="272">
        <f t="shared" si="421"/>
        <v>-22.89</v>
      </c>
      <c r="V243" s="272"/>
      <c r="W243" s="272" t="s">
        <v>374</v>
      </c>
      <c r="X243" s="272"/>
      <c r="Y243" s="272"/>
      <c r="Z243" s="272"/>
      <c r="AA243" s="272"/>
      <c r="AB243" s="274"/>
      <c r="AC243" s="295"/>
    </row>
    <row r="244" spans="2:29" x14ac:dyDescent="0.35">
      <c r="B244" s="272" t="s">
        <v>375</v>
      </c>
      <c r="C244" s="272"/>
      <c r="D244" s="272"/>
      <c r="E244" s="272"/>
      <c r="F244" s="272"/>
      <c r="G244" s="272"/>
      <c r="H244" s="272"/>
      <c r="I244" s="272"/>
      <c r="J244" s="272"/>
      <c r="K244" s="272"/>
      <c r="L244" s="272"/>
      <c r="M244" s="272"/>
      <c r="N244" s="272"/>
      <c r="O244" s="272">
        <v>0</v>
      </c>
      <c r="P244" s="272">
        <v>0</v>
      </c>
      <c r="Q244" s="272">
        <v>0</v>
      </c>
      <c r="R244" s="272">
        <v>0</v>
      </c>
      <c r="S244" s="272">
        <v>0</v>
      </c>
      <c r="T244" s="272">
        <v>0</v>
      </c>
      <c r="U244" s="272">
        <v>0</v>
      </c>
      <c r="V244" s="272"/>
      <c r="W244" s="272" t="s">
        <v>375</v>
      </c>
      <c r="X244" s="272"/>
      <c r="Y244" s="272"/>
      <c r="Z244" s="272"/>
      <c r="AA244" s="272"/>
      <c r="AB244" s="274"/>
      <c r="AC244" s="295"/>
    </row>
    <row r="245" spans="2:29" x14ac:dyDescent="0.35">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4"/>
      <c r="AC245" s="295"/>
    </row>
    <row r="246" spans="2:29" ht="31" x14ac:dyDescent="0.55000000000000004">
      <c r="B246" s="281" t="s">
        <v>1017</v>
      </c>
      <c r="C246" s="272"/>
      <c r="D246" s="272"/>
      <c r="E246" s="272"/>
      <c r="F246" s="272"/>
      <c r="G246" s="272"/>
      <c r="H246" s="272"/>
      <c r="I246" s="272"/>
      <c r="J246" s="272"/>
      <c r="K246" s="272"/>
      <c r="L246" s="272"/>
      <c r="M246" s="272"/>
      <c r="N246" s="272"/>
      <c r="O246" s="266" t="s">
        <v>372</v>
      </c>
      <c r="P246" s="266" t="s">
        <v>372</v>
      </c>
      <c r="Q246" s="266" t="s">
        <v>372</v>
      </c>
      <c r="R246" s="266" t="s">
        <v>372</v>
      </c>
      <c r="S246" s="266" t="s">
        <v>372</v>
      </c>
      <c r="T246" s="266" t="s">
        <v>372</v>
      </c>
      <c r="U246" s="266" t="s">
        <v>372</v>
      </c>
      <c r="V246" s="272"/>
      <c r="W246" s="272"/>
      <c r="X246" s="272"/>
      <c r="Y246" s="272"/>
      <c r="Z246" s="272"/>
      <c r="AA246" s="272"/>
      <c r="AB246" s="274"/>
      <c r="AC246" s="295"/>
    </row>
    <row r="247" spans="2:29" x14ac:dyDescent="0.35">
      <c r="B247" s="272" t="str">
        <f>"Vand_"&amp;W247</f>
        <v>Vand_Skole, kontor og daginstitution</v>
      </c>
      <c r="C247" s="276">
        <v>50</v>
      </c>
      <c r="D247" s="276">
        <v>2.4</v>
      </c>
      <c r="E247" s="276">
        <v>0</v>
      </c>
      <c r="F247" s="276">
        <v>0</v>
      </c>
      <c r="G247" s="276">
        <v>0.6</v>
      </c>
      <c r="H247" s="276">
        <v>0</v>
      </c>
      <c r="I247" s="277">
        <f t="shared" ref="I247:I248" si="422">D247+G247+H247</f>
        <v>3</v>
      </c>
      <c r="J247" s="276">
        <v>-0.96</v>
      </c>
      <c r="K247" s="276" t="s">
        <v>270</v>
      </c>
      <c r="L247" s="276">
        <v>1</v>
      </c>
      <c r="M247" s="272"/>
      <c r="N247" s="272"/>
      <c r="O247" s="272">
        <f t="shared" ref="O247:U247" si="423">D247/$L$247</f>
        <v>2.4</v>
      </c>
      <c r="P247" s="272">
        <f t="shared" si="423"/>
        <v>0</v>
      </c>
      <c r="Q247" s="272">
        <f t="shared" si="423"/>
        <v>0</v>
      </c>
      <c r="R247" s="272">
        <f t="shared" si="423"/>
        <v>0.6</v>
      </c>
      <c r="S247" s="272">
        <f t="shared" si="423"/>
        <v>0</v>
      </c>
      <c r="T247" s="562">
        <f t="shared" si="423"/>
        <v>3</v>
      </c>
      <c r="U247" s="272">
        <f t="shared" si="423"/>
        <v>-0.96</v>
      </c>
      <c r="V247" s="272"/>
      <c r="W247" s="272" t="s">
        <v>373</v>
      </c>
      <c r="X247" s="272"/>
      <c r="Y247" s="272"/>
      <c r="Z247" s="272"/>
      <c r="AA247" s="272"/>
      <c r="AB247" s="274"/>
      <c r="AC247" s="295"/>
    </row>
    <row r="248" spans="2:29" x14ac:dyDescent="0.35">
      <c r="B248" s="272" t="str">
        <f>"Vand_"&amp;W248</f>
        <v>Vand_Øvrige bygninger</v>
      </c>
      <c r="C248" s="276">
        <v>50</v>
      </c>
      <c r="D248" s="276">
        <v>2.4</v>
      </c>
      <c r="E248" s="276">
        <v>0</v>
      </c>
      <c r="F248" s="276">
        <v>0</v>
      </c>
      <c r="G248" s="276">
        <v>0.6</v>
      </c>
      <c r="H248" s="276">
        <v>0</v>
      </c>
      <c r="I248" s="277">
        <f t="shared" si="422"/>
        <v>3</v>
      </c>
      <c r="J248" s="276">
        <v>-0.96</v>
      </c>
      <c r="K248" s="276" t="s">
        <v>270</v>
      </c>
      <c r="L248" s="276">
        <v>1</v>
      </c>
      <c r="M248" s="272"/>
      <c r="N248" s="272"/>
      <c r="O248" s="272">
        <f t="shared" ref="O248:U248" si="424">D248/$L$248</f>
        <v>2.4</v>
      </c>
      <c r="P248" s="272">
        <f t="shared" si="424"/>
        <v>0</v>
      </c>
      <c r="Q248" s="272">
        <f t="shared" si="424"/>
        <v>0</v>
      </c>
      <c r="R248" s="272">
        <f t="shared" si="424"/>
        <v>0.6</v>
      </c>
      <c r="S248" s="272">
        <f t="shared" si="424"/>
        <v>0</v>
      </c>
      <c r="T248" s="562">
        <f t="shared" si="424"/>
        <v>3</v>
      </c>
      <c r="U248" s="272">
        <f t="shared" si="424"/>
        <v>-0.96</v>
      </c>
      <c r="V248" s="272"/>
      <c r="W248" s="272" t="s">
        <v>374</v>
      </c>
      <c r="X248" s="272"/>
      <c r="Y248" s="272"/>
      <c r="Z248" s="272"/>
      <c r="AA248" s="272"/>
      <c r="AB248" s="274"/>
      <c r="AC248" s="295"/>
    </row>
    <row r="249" spans="2:29" x14ac:dyDescent="0.35">
      <c r="B249" s="272"/>
      <c r="C249" s="276"/>
      <c r="D249" s="276"/>
      <c r="E249" s="276"/>
      <c r="F249" s="276"/>
      <c r="G249" s="276"/>
      <c r="H249" s="276"/>
      <c r="I249" s="277"/>
      <c r="J249" s="276"/>
      <c r="K249" s="276"/>
      <c r="L249" s="276"/>
      <c r="M249" s="272"/>
      <c r="N249" s="272"/>
      <c r="O249" s="272"/>
      <c r="P249" s="272"/>
      <c r="Q249" s="272"/>
      <c r="R249" s="272"/>
      <c r="S249" s="272"/>
      <c r="T249" s="562"/>
      <c r="U249" s="272"/>
      <c r="V249" s="272"/>
      <c r="W249" s="272"/>
      <c r="X249" s="272"/>
      <c r="Y249" s="272"/>
      <c r="Z249" s="272"/>
      <c r="AA249" s="272"/>
      <c r="AB249" s="274"/>
      <c r="AC249" s="295"/>
    </row>
    <row r="250" spans="2:29" ht="31" x14ac:dyDescent="0.55000000000000004">
      <c r="B250" s="281" t="s">
        <v>1020</v>
      </c>
      <c r="C250" s="272"/>
      <c r="D250" s="272"/>
      <c r="E250" s="272"/>
      <c r="F250" s="272"/>
      <c r="G250" s="272"/>
      <c r="H250" s="272"/>
      <c r="I250" s="272"/>
      <c r="J250" s="272"/>
      <c r="K250" s="272"/>
      <c r="L250" s="272"/>
      <c r="M250" s="272"/>
      <c r="N250" s="272"/>
      <c r="O250" s="266" t="s">
        <v>372</v>
      </c>
      <c r="P250" s="266" t="s">
        <v>372</v>
      </c>
      <c r="Q250" s="266" t="s">
        <v>372</v>
      </c>
      <c r="R250" s="266" t="s">
        <v>372</v>
      </c>
      <c r="S250" s="266" t="s">
        <v>372</v>
      </c>
      <c r="T250" s="266" t="s">
        <v>372</v>
      </c>
      <c r="U250" s="266" t="s">
        <v>372</v>
      </c>
      <c r="V250" s="272"/>
      <c r="W250" s="272"/>
      <c r="X250" s="272"/>
      <c r="Y250" s="272"/>
      <c r="Z250" s="272"/>
      <c r="AA250" s="272"/>
      <c r="AB250" s="274"/>
      <c r="AC250" s="295"/>
    </row>
    <row r="251" spans="2:29" x14ac:dyDescent="0.35">
      <c r="B251" s="272" t="str">
        <f>$B$250&amp;"_"&amp;W251</f>
        <v>Afløb_Skole, kontor og daginstitution</v>
      </c>
      <c r="C251" s="276">
        <v>50</v>
      </c>
      <c r="D251" s="276">
        <v>0.9</v>
      </c>
      <c r="E251" s="276">
        <v>0</v>
      </c>
      <c r="F251" s="276">
        <v>0</v>
      </c>
      <c r="G251" s="276">
        <v>1.1000000000000001</v>
      </c>
      <c r="H251" s="276">
        <v>0</v>
      </c>
      <c r="I251" s="277">
        <f t="shared" ref="I251:I252" si="425">D251+G251+H251</f>
        <v>2</v>
      </c>
      <c r="J251" s="276">
        <v>-0.54</v>
      </c>
      <c r="K251" s="276" t="s">
        <v>270</v>
      </c>
      <c r="L251" s="276">
        <v>1</v>
      </c>
      <c r="M251" s="272"/>
      <c r="N251" s="272"/>
      <c r="O251" s="272">
        <f t="shared" ref="O251:U251" si="426">D251/$L$247</f>
        <v>0.9</v>
      </c>
      <c r="P251" s="272">
        <f t="shared" si="426"/>
        <v>0</v>
      </c>
      <c r="Q251" s="272">
        <f t="shared" si="426"/>
        <v>0</v>
      </c>
      <c r="R251" s="272">
        <f t="shared" si="426"/>
        <v>1.1000000000000001</v>
      </c>
      <c r="S251" s="272">
        <f t="shared" si="426"/>
        <v>0</v>
      </c>
      <c r="T251" s="562">
        <f t="shared" si="426"/>
        <v>2</v>
      </c>
      <c r="U251" s="272">
        <f t="shared" si="426"/>
        <v>-0.54</v>
      </c>
      <c r="V251" s="272"/>
      <c r="W251" s="272" t="s">
        <v>373</v>
      </c>
      <c r="X251" s="272"/>
      <c r="Y251" s="272"/>
      <c r="Z251" s="272"/>
      <c r="AA251" s="272"/>
      <c r="AB251" s="274"/>
      <c r="AC251" s="295"/>
    </row>
    <row r="252" spans="2:29" x14ac:dyDescent="0.35">
      <c r="B252" s="272" t="str">
        <f>$B$250&amp;"_"&amp;W252</f>
        <v>Afløb_Øvrige bygninger</v>
      </c>
      <c r="C252" s="276">
        <v>50</v>
      </c>
      <c r="D252" s="276">
        <v>1.125</v>
      </c>
      <c r="E252" s="276">
        <v>0</v>
      </c>
      <c r="F252" s="276">
        <v>0</v>
      </c>
      <c r="G252" s="276">
        <v>1.375</v>
      </c>
      <c r="H252" s="276">
        <v>0</v>
      </c>
      <c r="I252" s="277">
        <f t="shared" si="425"/>
        <v>2.5</v>
      </c>
      <c r="J252" s="276">
        <v>-0.67500000000000004</v>
      </c>
      <c r="K252" s="276" t="s">
        <v>270</v>
      </c>
      <c r="L252" s="276">
        <v>1</v>
      </c>
      <c r="M252" s="272"/>
      <c r="N252" s="272"/>
      <c r="O252" s="272">
        <f t="shared" ref="O252:U252" si="427">D252/$L$248</f>
        <v>1.125</v>
      </c>
      <c r="P252" s="272">
        <f t="shared" si="427"/>
        <v>0</v>
      </c>
      <c r="Q252" s="272">
        <f t="shared" si="427"/>
        <v>0</v>
      </c>
      <c r="R252" s="272">
        <f t="shared" si="427"/>
        <v>1.375</v>
      </c>
      <c r="S252" s="272">
        <f t="shared" si="427"/>
        <v>0</v>
      </c>
      <c r="T252" s="562">
        <f t="shared" si="427"/>
        <v>2.5</v>
      </c>
      <c r="U252" s="272">
        <f t="shared" si="427"/>
        <v>-0.67500000000000004</v>
      </c>
      <c r="V252" s="272"/>
      <c r="W252" s="272" t="s">
        <v>374</v>
      </c>
      <c r="X252" s="272"/>
      <c r="Y252" s="272"/>
      <c r="Z252" s="272"/>
      <c r="AA252" s="272"/>
      <c r="AB252" s="274"/>
      <c r="AC252" s="295"/>
    </row>
    <row r="253" spans="2:29" x14ac:dyDescent="0.35">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4"/>
      <c r="AC253" s="295"/>
    </row>
    <row r="254" spans="2:29" ht="31" x14ac:dyDescent="0.55000000000000004">
      <c r="B254" s="281" t="s">
        <v>1026</v>
      </c>
      <c r="C254" s="272"/>
      <c r="D254" s="272"/>
      <c r="E254" s="272"/>
      <c r="F254" s="272"/>
      <c r="G254" s="272"/>
      <c r="H254" s="272"/>
      <c r="I254" s="272"/>
      <c r="J254" s="272"/>
      <c r="K254" s="272"/>
      <c r="L254" s="272"/>
      <c r="M254" s="272"/>
      <c r="N254" s="272"/>
      <c r="O254" s="266" t="s">
        <v>1027</v>
      </c>
      <c r="P254" s="266" t="s">
        <v>1027</v>
      </c>
      <c r="Q254" s="266" t="s">
        <v>1027</v>
      </c>
      <c r="R254" s="266" t="s">
        <v>1027</v>
      </c>
      <c r="S254" s="266" t="s">
        <v>1027</v>
      </c>
      <c r="T254" s="266" t="s">
        <v>1027</v>
      </c>
      <c r="U254" s="266" t="s">
        <v>1027</v>
      </c>
      <c r="V254" s="272"/>
      <c r="W254" s="272"/>
      <c r="X254" s="272"/>
      <c r="Y254" s="609" t="s">
        <v>1095</v>
      </c>
      <c r="Z254" s="609"/>
      <c r="AA254" s="609" t="s">
        <v>1079</v>
      </c>
      <c r="AB254" s="609" t="s">
        <v>1028</v>
      </c>
      <c r="AC254" s="295"/>
    </row>
    <row r="255" spans="2:29" x14ac:dyDescent="0.35">
      <c r="B255" s="272" t="str">
        <f>$B$254&amp;"_"&amp;W255</f>
        <v>Solceller_Etableres ikke</v>
      </c>
      <c r="C255" s="272"/>
      <c r="D255" s="272"/>
      <c r="E255" s="272"/>
      <c r="F255" s="272"/>
      <c r="G255" s="272"/>
      <c r="H255" s="272"/>
      <c r="I255" s="272"/>
      <c r="J255" s="272"/>
      <c r="K255" s="272"/>
      <c r="L255" s="272"/>
      <c r="M255" s="272"/>
      <c r="N255" s="272"/>
      <c r="O255" s="272"/>
      <c r="P255" s="272"/>
      <c r="Q255" s="272"/>
      <c r="R255" s="272"/>
      <c r="S255" s="272"/>
      <c r="T255" s="272"/>
      <c r="U255" s="272"/>
      <c r="V255" s="272"/>
      <c r="W255" s="274" t="s">
        <v>153</v>
      </c>
      <c r="X255" s="272"/>
      <c r="Y255" s="274">
        <v>0</v>
      </c>
      <c r="Z255" s="274">
        <v>0</v>
      </c>
      <c r="AA255" s="272"/>
      <c r="AB255" s="274"/>
      <c r="AC255" s="295"/>
    </row>
    <row r="256" spans="2:29" x14ac:dyDescent="0.35">
      <c r="B256" s="272" t="str">
        <f>$B$254&amp;"_"&amp;W256</f>
        <v>Solceller_Standard solcelle</v>
      </c>
      <c r="C256" s="276">
        <v>30</v>
      </c>
      <c r="D256" s="276">
        <v>296.68599999999998</v>
      </c>
      <c r="E256" s="276">
        <v>0</v>
      </c>
      <c r="F256" s="276">
        <v>0</v>
      </c>
      <c r="G256" s="276">
        <v>0</v>
      </c>
      <c r="H256" s="276">
        <v>12.1364</v>
      </c>
      <c r="I256" s="277">
        <f t="shared" ref="I256" si="428">D256+G256+H256</f>
        <v>308.82239999999996</v>
      </c>
      <c r="J256" s="276">
        <v>-36.201300000000003</v>
      </c>
      <c r="K256" s="276" t="s">
        <v>270</v>
      </c>
      <c r="L256" s="276">
        <v>1</v>
      </c>
      <c r="M256" s="272"/>
      <c r="N256" s="272"/>
      <c r="O256" s="272">
        <f t="shared" ref="O256:U259" si="429">D256/$L$247</f>
        <v>296.68599999999998</v>
      </c>
      <c r="P256" s="272">
        <f t="shared" si="429"/>
        <v>0</v>
      </c>
      <c r="Q256" s="272">
        <f t="shared" si="429"/>
        <v>0</v>
      </c>
      <c r="R256" s="272">
        <f t="shared" si="429"/>
        <v>0</v>
      </c>
      <c r="S256" s="272">
        <f t="shared" si="429"/>
        <v>12.1364</v>
      </c>
      <c r="T256" s="562">
        <f t="shared" si="429"/>
        <v>308.82239999999996</v>
      </c>
      <c r="U256" s="272">
        <f t="shared" si="429"/>
        <v>-36.201300000000003</v>
      </c>
      <c r="V256" s="272"/>
      <c r="W256" s="272" t="s">
        <v>1097</v>
      </c>
      <c r="X256" s="272"/>
      <c r="Y256" s="272">
        <v>0.16500000000000001</v>
      </c>
      <c r="Z256" s="272"/>
      <c r="AA256" s="272">
        <v>1</v>
      </c>
      <c r="AB256" s="623">
        <f>Y256/AA256</f>
        <v>0.16500000000000001</v>
      </c>
      <c r="AC256" s="295"/>
    </row>
    <row r="257" spans="2:29" x14ac:dyDescent="0.35">
      <c r="B257" s="272" t="str">
        <f>$B$254&amp;"_"&amp;W257</f>
        <v>Solceller_Produktspecifik Solcelle</v>
      </c>
      <c r="C257" s="650">
        <v>30</v>
      </c>
      <c r="D257" s="650">
        <v>166</v>
      </c>
      <c r="E257" s="650">
        <v>0</v>
      </c>
      <c r="F257" s="650">
        <v>0</v>
      </c>
      <c r="G257" s="650">
        <v>6.33</v>
      </c>
      <c r="H257" s="650">
        <v>0.14499999999999999</v>
      </c>
      <c r="I257" s="651">
        <v>172.47500000000002</v>
      </c>
      <c r="J257" s="650">
        <v>-12</v>
      </c>
      <c r="K257" s="650" t="s">
        <v>288</v>
      </c>
      <c r="L257" s="650">
        <v>1</v>
      </c>
      <c r="M257" s="272"/>
      <c r="N257" s="272"/>
      <c r="O257" s="272">
        <f t="shared" si="429"/>
        <v>166</v>
      </c>
      <c r="P257" s="272">
        <f t="shared" si="429"/>
        <v>0</v>
      </c>
      <c r="Q257" s="272">
        <f t="shared" si="429"/>
        <v>0</v>
      </c>
      <c r="R257" s="272">
        <f t="shared" si="429"/>
        <v>6.33</v>
      </c>
      <c r="S257" s="272">
        <f t="shared" si="429"/>
        <v>0.14499999999999999</v>
      </c>
      <c r="T257" s="562">
        <f t="shared" si="429"/>
        <v>172.47500000000002</v>
      </c>
      <c r="U257" s="272">
        <f t="shared" si="429"/>
        <v>-12</v>
      </c>
      <c r="V257" s="272"/>
      <c r="W257" s="653" t="s">
        <v>1096</v>
      </c>
      <c r="X257" s="272"/>
      <c r="Y257" s="653">
        <v>0.126</v>
      </c>
      <c r="Z257" s="272"/>
      <c r="AA257" s="653">
        <v>0.72</v>
      </c>
      <c r="AB257" s="654">
        <f>IF(Y257=0,0,Y257/AA257)</f>
        <v>0.17500000000000002</v>
      </c>
      <c r="AC257" s="295"/>
    </row>
    <row r="258" spans="2:29" x14ac:dyDescent="0.35">
      <c r="B258" s="272" t="str">
        <f>$B$254&amp;"_"&amp;W258</f>
        <v>Solceller_Brugerdefineret_2</v>
      </c>
      <c r="C258" s="650">
        <v>30</v>
      </c>
      <c r="D258" s="650">
        <v>0</v>
      </c>
      <c r="E258" s="650">
        <v>0</v>
      </c>
      <c r="F258" s="650">
        <v>0</v>
      </c>
      <c r="G258" s="650">
        <v>0</v>
      </c>
      <c r="H258" s="650">
        <v>0</v>
      </c>
      <c r="I258" s="651">
        <v>0</v>
      </c>
      <c r="J258" s="650">
        <v>0</v>
      </c>
      <c r="K258" s="650" t="s">
        <v>288</v>
      </c>
      <c r="L258" s="650">
        <v>1</v>
      </c>
      <c r="M258" s="272"/>
      <c r="N258" s="272"/>
      <c r="O258" s="272">
        <f t="shared" si="429"/>
        <v>0</v>
      </c>
      <c r="P258" s="272">
        <f t="shared" si="429"/>
        <v>0</v>
      </c>
      <c r="Q258" s="272">
        <f t="shared" si="429"/>
        <v>0</v>
      </c>
      <c r="R258" s="272">
        <f t="shared" si="429"/>
        <v>0</v>
      </c>
      <c r="S258" s="272">
        <f t="shared" si="429"/>
        <v>0</v>
      </c>
      <c r="T258" s="562">
        <f t="shared" si="429"/>
        <v>0</v>
      </c>
      <c r="U258" s="272">
        <f t="shared" si="429"/>
        <v>0</v>
      </c>
      <c r="V258" s="272"/>
      <c r="W258" s="653" t="s">
        <v>281</v>
      </c>
      <c r="X258" s="272"/>
      <c r="Y258" s="653">
        <v>0</v>
      </c>
      <c r="Z258" s="272"/>
      <c r="AA258" s="653">
        <v>0</v>
      </c>
      <c r="AB258" s="654">
        <f>IF(Y258=0,0,Y258/AA258)</f>
        <v>0</v>
      </c>
      <c r="AC258" s="295"/>
    </row>
    <row r="259" spans="2:29" x14ac:dyDescent="0.35">
      <c r="B259" s="272" t="str">
        <f>$B$254&amp;"_"&amp;W259</f>
        <v>Solceller_Brugerdefineret_3</v>
      </c>
      <c r="C259" s="650">
        <v>30</v>
      </c>
      <c r="D259" s="650">
        <v>0</v>
      </c>
      <c r="E259" s="650">
        <v>0</v>
      </c>
      <c r="F259" s="650">
        <v>0</v>
      </c>
      <c r="G259" s="650">
        <v>0</v>
      </c>
      <c r="H259" s="650">
        <v>0</v>
      </c>
      <c r="I259" s="651">
        <v>0</v>
      </c>
      <c r="J259" s="650">
        <v>0</v>
      </c>
      <c r="K259" s="650" t="s">
        <v>288</v>
      </c>
      <c r="L259" s="650">
        <v>1</v>
      </c>
      <c r="M259" s="272"/>
      <c r="N259" s="272"/>
      <c r="O259" s="272">
        <f t="shared" si="429"/>
        <v>0</v>
      </c>
      <c r="P259" s="272">
        <f t="shared" si="429"/>
        <v>0</v>
      </c>
      <c r="Q259" s="272">
        <f t="shared" si="429"/>
        <v>0</v>
      </c>
      <c r="R259" s="272">
        <f t="shared" si="429"/>
        <v>0</v>
      </c>
      <c r="S259" s="272">
        <f t="shared" si="429"/>
        <v>0</v>
      </c>
      <c r="T259" s="562">
        <f t="shared" si="429"/>
        <v>0</v>
      </c>
      <c r="U259" s="272">
        <f t="shared" si="429"/>
        <v>0</v>
      </c>
      <c r="V259" s="272"/>
      <c r="W259" s="653" t="s">
        <v>282</v>
      </c>
      <c r="X259" s="272"/>
      <c r="Y259" s="653">
        <v>0</v>
      </c>
      <c r="Z259" s="272"/>
      <c r="AA259" s="653">
        <v>0</v>
      </c>
      <c r="AB259" s="654">
        <f>IF(Y259=0,0,Y259/AA259)</f>
        <v>0</v>
      </c>
      <c r="AC259" s="295"/>
    </row>
    <row r="260" spans="2:29" x14ac:dyDescent="0.35">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4"/>
      <c r="AC260" s="295"/>
    </row>
    <row r="261" spans="2:29" ht="23.5" x14ac:dyDescent="0.55000000000000004">
      <c r="B261" s="281" t="s">
        <v>817</v>
      </c>
      <c r="C261" s="272"/>
      <c r="D261" s="265" t="s">
        <v>359</v>
      </c>
      <c r="E261" s="265" t="s">
        <v>359</v>
      </c>
      <c r="F261" s="265" t="s">
        <v>359</v>
      </c>
      <c r="G261" s="265" t="s">
        <v>359</v>
      </c>
      <c r="H261" s="265" t="s">
        <v>359</v>
      </c>
      <c r="I261" s="265" t="s">
        <v>359</v>
      </c>
      <c r="J261" s="265" t="s">
        <v>359</v>
      </c>
      <c r="K261" s="265" t="s">
        <v>359</v>
      </c>
      <c r="L261" s="272"/>
      <c r="M261" s="272"/>
      <c r="N261" s="272"/>
      <c r="O261" s="272"/>
      <c r="P261" s="272"/>
      <c r="Q261" s="272"/>
      <c r="R261" s="272"/>
      <c r="S261" s="272"/>
      <c r="T261" s="272"/>
      <c r="U261" s="272"/>
      <c r="V261" s="272"/>
      <c r="W261" s="274" t="s">
        <v>302</v>
      </c>
      <c r="X261" s="275">
        <f>T261</f>
        <v>0</v>
      </c>
      <c r="Y261" s="272"/>
      <c r="Z261" s="272"/>
      <c r="AA261" s="272"/>
      <c r="AB261" s="274"/>
      <c r="AC261" s="295"/>
    </row>
    <row r="262" spans="2:29" x14ac:dyDescent="0.35">
      <c r="B262" s="274" t="s">
        <v>358</v>
      </c>
      <c r="C262" s="268">
        <v>200</v>
      </c>
      <c r="D262" s="272"/>
      <c r="E262" s="272"/>
      <c r="F262" s="272"/>
      <c r="G262" s="272"/>
      <c r="H262" s="272"/>
      <c r="I262" s="277">
        <f>D262+G262+H262</f>
        <v>0</v>
      </c>
      <c r="J262" s="272"/>
      <c r="K262" s="272"/>
      <c r="L262" s="272"/>
      <c r="M262" s="272"/>
      <c r="N262" s="272"/>
      <c r="O262" s="272"/>
      <c r="P262" s="272"/>
      <c r="Q262" s="272"/>
      <c r="R262" s="272"/>
      <c r="S262" s="272"/>
      <c r="T262" s="272"/>
      <c r="U262" s="272"/>
      <c r="V262" s="272"/>
      <c r="W262" s="274" t="s">
        <v>103</v>
      </c>
      <c r="X262" s="275"/>
      <c r="Y262" s="272"/>
      <c r="Z262" s="272"/>
      <c r="AA262" s="272"/>
      <c r="AB262" s="274"/>
      <c r="AC262" s="295"/>
    </row>
    <row r="263" spans="2:29" x14ac:dyDescent="0.35">
      <c r="B263" s="272" t="str">
        <f t="shared" ref="B263:B269" si="430">$B$261&amp;"_"&amp;W263</f>
        <v>Fundament_Linjefundament</v>
      </c>
      <c r="C263" s="276">
        <v>120</v>
      </c>
      <c r="D263" s="277">
        <v>151.51</v>
      </c>
      <c r="E263" s="277">
        <v>0</v>
      </c>
      <c r="F263" s="277">
        <v>0</v>
      </c>
      <c r="G263" s="277">
        <v>2.88</v>
      </c>
      <c r="H263" s="277">
        <v>15.56</v>
      </c>
      <c r="I263" s="277">
        <f t="shared" ref="I263" si="431">D263+G263+H263</f>
        <v>169.95</v>
      </c>
      <c r="J263" s="277">
        <v>-13.35</v>
      </c>
      <c r="K263" s="276" t="s">
        <v>270</v>
      </c>
      <c r="L263" s="276">
        <v>100</v>
      </c>
      <c r="M263" s="272"/>
      <c r="N263" s="272"/>
      <c r="O263" s="277">
        <f t="shared" ref="O263:O269" si="432">D263/L263</f>
        <v>1.5150999999999999</v>
      </c>
      <c r="P263" s="277">
        <f t="shared" ref="P263:P269" si="433">E263/L263</f>
        <v>0</v>
      </c>
      <c r="Q263" s="277">
        <f t="shared" ref="Q263:Q269" si="434">F263/L263</f>
        <v>0</v>
      </c>
      <c r="R263" s="277">
        <f t="shared" ref="R263:R269" si="435">G263/L263</f>
        <v>2.8799999999999999E-2</v>
      </c>
      <c r="S263" s="277">
        <f t="shared" ref="S263:S269" si="436">H263/L263</f>
        <v>0.15560000000000002</v>
      </c>
      <c r="T263" s="277">
        <f t="shared" ref="T263:T269" si="437">I263/L263</f>
        <v>1.6994999999999998</v>
      </c>
      <c r="U263" s="277">
        <f t="shared" ref="U263:U269" si="438">J263/L263</f>
        <v>-0.13350000000000001</v>
      </c>
      <c r="V263" s="272"/>
      <c r="W263" s="272" t="s">
        <v>818</v>
      </c>
      <c r="X263" s="277">
        <f t="shared" ref="X263" si="439">T263</f>
        <v>1.6994999999999998</v>
      </c>
      <c r="Y263" s="277"/>
      <c r="Z263" s="272"/>
      <c r="AA263" s="282"/>
      <c r="AB263" s="274"/>
      <c r="AC263" s="540">
        <f>I263</f>
        <v>169.95</v>
      </c>
    </row>
    <row r="264" spans="2:29" x14ac:dyDescent="0.35">
      <c r="B264" s="272" t="str">
        <f t="shared" si="430"/>
        <v>Fundament_Punktfundament</v>
      </c>
      <c r="C264" s="276">
        <v>120</v>
      </c>
      <c r="D264" s="277">
        <v>58.24</v>
      </c>
      <c r="E264" s="277">
        <v>0</v>
      </c>
      <c r="F264" s="277">
        <v>0</v>
      </c>
      <c r="G264" s="277">
        <v>21.84</v>
      </c>
      <c r="H264" s="277">
        <v>0.99</v>
      </c>
      <c r="I264" s="277">
        <f t="shared" ref="I264" si="440">D264+G264+H264</f>
        <v>81.069999999999993</v>
      </c>
      <c r="J264" s="277">
        <v>-18.5</v>
      </c>
      <c r="K264" s="276" t="s">
        <v>270</v>
      </c>
      <c r="L264" s="276">
        <v>100</v>
      </c>
      <c r="M264" s="272"/>
      <c r="N264" s="272"/>
      <c r="O264" s="277">
        <f t="shared" si="432"/>
        <v>0.58240000000000003</v>
      </c>
      <c r="P264" s="277">
        <f t="shared" si="433"/>
        <v>0</v>
      </c>
      <c r="Q264" s="277">
        <f t="shared" si="434"/>
        <v>0</v>
      </c>
      <c r="R264" s="277">
        <f t="shared" si="435"/>
        <v>0.21840000000000001</v>
      </c>
      <c r="S264" s="277">
        <f t="shared" si="436"/>
        <v>9.8999999999999991E-3</v>
      </c>
      <c r="T264" s="277">
        <f t="shared" si="437"/>
        <v>0.81069999999999998</v>
      </c>
      <c r="U264" s="277">
        <f t="shared" si="438"/>
        <v>-0.185</v>
      </c>
      <c r="V264" s="272"/>
      <c r="W264" s="272" t="s">
        <v>819</v>
      </c>
      <c r="X264" s="277">
        <f t="shared" ref="X264" si="441">T264</f>
        <v>0.81069999999999998</v>
      </c>
      <c r="Y264" s="277">
        <v>13.79</v>
      </c>
      <c r="Z264" s="272" t="s">
        <v>867</v>
      </c>
      <c r="AA264" s="282">
        <f>Y264/L264</f>
        <v>0.13789999999999999</v>
      </c>
      <c r="AB264" s="274"/>
      <c r="AC264" s="540">
        <f t="shared" ref="AC264:AC265" si="442">I264</f>
        <v>81.069999999999993</v>
      </c>
    </row>
    <row r="265" spans="2:29" x14ac:dyDescent="0.35">
      <c r="B265" s="272" t="str">
        <f t="shared" si="430"/>
        <v>Fundament_Skruefundament</v>
      </c>
      <c r="C265" s="276">
        <v>120</v>
      </c>
      <c r="D265" s="277">
        <v>33.799999999999997</v>
      </c>
      <c r="E265" s="277">
        <v>0</v>
      </c>
      <c r="F265" s="277">
        <v>0</v>
      </c>
      <c r="G265" s="277">
        <v>20.58</v>
      </c>
      <c r="H265" s="277">
        <v>0</v>
      </c>
      <c r="I265" s="277">
        <f t="shared" ref="I265" si="443">D265+G265+H265</f>
        <v>54.379999999999995</v>
      </c>
      <c r="J265" s="277">
        <v>-29.5</v>
      </c>
      <c r="K265" s="276" t="s">
        <v>270</v>
      </c>
      <c r="L265" s="276">
        <v>100</v>
      </c>
      <c r="M265" s="272"/>
      <c r="N265" s="272"/>
      <c r="O265" s="277">
        <f t="shared" si="432"/>
        <v>0.33799999999999997</v>
      </c>
      <c r="P265" s="277">
        <f t="shared" si="433"/>
        <v>0</v>
      </c>
      <c r="Q265" s="277">
        <f t="shared" si="434"/>
        <v>0</v>
      </c>
      <c r="R265" s="277">
        <f t="shared" si="435"/>
        <v>0.20579999999999998</v>
      </c>
      <c r="S265" s="277">
        <f t="shared" si="436"/>
        <v>0</v>
      </c>
      <c r="T265" s="277">
        <f t="shared" si="437"/>
        <v>0.54379999999999995</v>
      </c>
      <c r="U265" s="277">
        <f t="shared" si="438"/>
        <v>-0.29499999999999998</v>
      </c>
      <c r="V265" s="272"/>
      <c r="W265" s="272" t="s">
        <v>820</v>
      </c>
      <c r="X265" s="277">
        <f t="shared" ref="X265" si="444">T265</f>
        <v>0.54379999999999995</v>
      </c>
      <c r="Y265" s="277">
        <v>13.79</v>
      </c>
      <c r="Z265" s="272" t="s">
        <v>867</v>
      </c>
      <c r="AA265" s="282">
        <f>Y265/L265</f>
        <v>0.13789999999999999</v>
      </c>
      <c r="AB265" s="274"/>
      <c r="AC265" s="540">
        <f t="shared" si="442"/>
        <v>54.379999999999995</v>
      </c>
    </row>
    <row r="266" spans="2:29" x14ac:dyDescent="0.35">
      <c r="B266" s="272" t="str">
        <f t="shared" si="430"/>
        <v>Fundament_Genbrugs fundament</v>
      </c>
      <c r="C266" s="276">
        <v>120</v>
      </c>
      <c r="D266" s="277">
        <v>0</v>
      </c>
      <c r="E266" s="277">
        <v>0</v>
      </c>
      <c r="F266" s="277">
        <v>0</v>
      </c>
      <c r="G266" s="277">
        <v>0</v>
      </c>
      <c r="H266" s="277">
        <v>0</v>
      </c>
      <c r="I266" s="277">
        <f t="shared" ref="I266:I269" si="445">D266+G266+H266</f>
        <v>0</v>
      </c>
      <c r="J266" s="277">
        <v>0</v>
      </c>
      <c r="K266" s="276" t="s">
        <v>270</v>
      </c>
      <c r="L266" s="276">
        <v>1</v>
      </c>
      <c r="M266" s="272"/>
      <c r="N266" s="272"/>
      <c r="O266" s="277">
        <f t="shared" si="432"/>
        <v>0</v>
      </c>
      <c r="P266" s="277">
        <f t="shared" si="433"/>
        <v>0</v>
      </c>
      <c r="Q266" s="277">
        <f t="shared" si="434"/>
        <v>0</v>
      </c>
      <c r="R266" s="277">
        <f t="shared" si="435"/>
        <v>0</v>
      </c>
      <c r="S266" s="277">
        <f t="shared" si="436"/>
        <v>0</v>
      </c>
      <c r="T266" s="277">
        <f t="shared" si="437"/>
        <v>0</v>
      </c>
      <c r="U266" s="277">
        <f t="shared" si="438"/>
        <v>0</v>
      </c>
      <c r="V266" s="272"/>
      <c r="W266" s="272" t="s">
        <v>1016</v>
      </c>
      <c r="X266" s="277">
        <f t="shared" ref="X266:X269" si="446">T266</f>
        <v>0</v>
      </c>
      <c r="Y266" s="277"/>
      <c r="Z266" s="272"/>
      <c r="AA266" s="282"/>
      <c r="AB266" s="274"/>
      <c r="AC266" s="540"/>
    </row>
    <row r="267" spans="2:29" x14ac:dyDescent="0.35">
      <c r="B267" s="272" t="str">
        <f t="shared" si="430"/>
        <v>Fundament_Brugerdefineret_1</v>
      </c>
      <c r="C267" s="652">
        <v>100</v>
      </c>
      <c r="D267" s="651">
        <v>0</v>
      </c>
      <c r="E267" s="651">
        <v>0</v>
      </c>
      <c r="F267" s="651">
        <v>0</v>
      </c>
      <c r="G267" s="651">
        <v>0</v>
      </c>
      <c r="H267" s="651">
        <v>0</v>
      </c>
      <c r="I267" s="651">
        <f t="shared" si="445"/>
        <v>0</v>
      </c>
      <c r="J267" s="651">
        <v>0</v>
      </c>
      <c r="K267" s="650" t="s">
        <v>288</v>
      </c>
      <c r="L267" s="650">
        <v>1</v>
      </c>
      <c r="M267" s="272"/>
      <c r="N267" s="272"/>
      <c r="O267" s="277">
        <f t="shared" si="432"/>
        <v>0</v>
      </c>
      <c r="P267" s="277">
        <f t="shared" si="433"/>
        <v>0</v>
      </c>
      <c r="Q267" s="277">
        <f t="shared" si="434"/>
        <v>0</v>
      </c>
      <c r="R267" s="277">
        <f t="shared" si="435"/>
        <v>0</v>
      </c>
      <c r="S267" s="277">
        <f t="shared" si="436"/>
        <v>0</v>
      </c>
      <c r="T267" s="277">
        <f t="shared" si="437"/>
        <v>0</v>
      </c>
      <c r="U267" s="277">
        <f t="shared" si="438"/>
        <v>0</v>
      </c>
      <c r="V267" s="272"/>
      <c r="W267" s="653" t="s">
        <v>280</v>
      </c>
      <c r="X267" s="277">
        <f t="shared" si="446"/>
        <v>0</v>
      </c>
      <c r="Y267" s="277"/>
      <c r="Z267" s="272"/>
      <c r="AA267" s="282"/>
      <c r="AB267" s="274"/>
      <c r="AC267" s="540"/>
    </row>
    <row r="268" spans="2:29" x14ac:dyDescent="0.35">
      <c r="B268" s="272" t="str">
        <f t="shared" si="430"/>
        <v>Fundament_Brugerdefineret_2</v>
      </c>
      <c r="C268" s="652">
        <v>100</v>
      </c>
      <c r="D268" s="651">
        <v>0</v>
      </c>
      <c r="E268" s="651">
        <v>0</v>
      </c>
      <c r="F268" s="651">
        <v>0</v>
      </c>
      <c r="G268" s="651">
        <v>0</v>
      </c>
      <c r="H268" s="651">
        <v>0</v>
      </c>
      <c r="I268" s="651">
        <f t="shared" ref="I268" si="447">D268+G268+H268</f>
        <v>0</v>
      </c>
      <c r="J268" s="651">
        <v>0</v>
      </c>
      <c r="K268" s="650" t="s">
        <v>288</v>
      </c>
      <c r="L268" s="650">
        <v>1</v>
      </c>
      <c r="M268" s="272"/>
      <c r="N268" s="272"/>
      <c r="O268" s="277">
        <f t="shared" si="432"/>
        <v>0</v>
      </c>
      <c r="P268" s="277">
        <f t="shared" si="433"/>
        <v>0</v>
      </c>
      <c r="Q268" s="277">
        <f t="shared" si="434"/>
        <v>0</v>
      </c>
      <c r="R268" s="277">
        <f t="shared" si="435"/>
        <v>0</v>
      </c>
      <c r="S268" s="277">
        <f t="shared" si="436"/>
        <v>0</v>
      </c>
      <c r="T268" s="277">
        <f t="shared" si="437"/>
        <v>0</v>
      </c>
      <c r="U268" s="277">
        <f t="shared" si="438"/>
        <v>0</v>
      </c>
      <c r="V268" s="272"/>
      <c r="W268" s="653" t="s">
        <v>281</v>
      </c>
      <c r="X268" s="277">
        <f t="shared" ref="X268" si="448">T268</f>
        <v>0</v>
      </c>
      <c r="Y268" s="277"/>
      <c r="Z268" s="272"/>
      <c r="AA268" s="282"/>
      <c r="AB268" s="274"/>
      <c r="AC268" s="540"/>
    </row>
    <row r="269" spans="2:29" x14ac:dyDescent="0.35">
      <c r="B269" s="272" t="str">
        <f t="shared" si="430"/>
        <v>Fundament_Brugerdefineret_3</v>
      </c>
      <c r="C269" s="652">
        <v>100</v>
      </c>
      <c r="D269" s="651">
        <v>0</v>
      </c>
      <c r="E269" s="651">
        <v>0</v>
      </c>
      <c r="F269" s="651">
        <v>0</v>
      </c>
      <c r="G269" s="651">
        <v>0</v>
      </c>
      <c r="H269" s="651">
        <v>0</v>
      </c>
      <c r="I269" s="651">
        <f t="shared" si="445"/>
        <v>0</v>
      </c>
      <c r="J269" s="651">
        <v>0</v>
      </c>
      <c r="K269" s="650" t="s">
        <v>288</v>
      </c>
      <c r="L269" s="650">
        <v>1</v>
      </c>
      <c r="M269" s="272"/>
      <c r="N269" s="272"/>
      <c r="O269" s="277">
        <f t="shared" si="432"/>
        <v>0</v>
      </c>
      <c r="P269" s="277">
        <f t="shared" si="433"/>
        <v>0</v>
      </c>
      <c r="Q269" s="277">
        <f t="shared" si="434"/>
        <v>0</v>
      </c>
      <c r="R269" s="277">
        <f t="shared" si="435"/>
        <v>0</v>
      </c>
      <c r="S269" s="277">
        <f t="shared" si="436"/>
        <v>0</v>
      </c>
      <c r="T269" s="277">
        <f t="shared" si="437"/>
        <v>0</v>
      </c>
      <c r="U269" s="277">
        <f t="shared" si="438"/>
        <v>0</v>
      </c>
      <c r="V269" s="272"/>
      <c r="W269" s="653" t="s">
        <v>282</v>
      </c>
      <c r="X269" s="277">
        <f t="shared" si="446"/>
        <v>0</v>
      </c>
      <c r="Y269" s="277"/>
      <c r="Z269" s="272"/>
      <c r="AA269" s="282"/>
      <c r="AB269" s="274"/>
      <c r="AC269" s="540"/>
    </row>
    <row r="270" spans="2:29" x14ac:dyDescent="0.35">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4"/>
      <c r="AC270" s="295"/>
    </row>
  </sheetData>
  <sheetProtection algorithmName="SHA-512" hashValue="IbZ6fE0Y7JeS+Bifwgpwzgcf0j0Xc1nvKkUIAH80VnweCMbZP+0upTc4LhHU2cA1+K+EUCEAY7cNmgCuqxq4+Q==" saltValue="wpr46GKr2SC71326gtJIFw==" spinCount="100000" sheet="1" selectLockedCells="1"/>
  <autoFilter ref="A6:M186" xr:uid="{C6FCCB9D-E3E7-43EB-8378-0A841834B0BA}"/>
  <phoneticPr fontId="12" type="noConversion"/>
  <hyperlinks>
    <hyperlink ref="AB43" r:id="rId1" xr:uid="{857B941A-9F47-4AAC-A043-5DE5ABE240CA}"/>
    <hyperlink ref="AB44" r:id="rId2" xr:uid="{1567A194-F384-45D5-BCF8-EA133786BB88}"/>
    <hyperlink ref="AB45" r:id="rId3" xr:uid="{BE20DDE3-3B66-4A54-9FB7-1B4E60846B96}"/>
    <hyperlink ref="AB46" r:id="rId4" xr:uid="{0F18C3A0-C483-4BAC-8257-72BE9843C4BB}"/>
    <hyperlink ref="AB47" r:id="rId5" xr:uid="{128D3E52-E525-4041-9D00-39BA10E5A388}"/>
    <hyperlink ref="AB42" r:id="rId6" xr:uid="{1FF66EF0-FF7E-41E2-804A-9F9675E136DD}"/>
    <hyperlink ref="AB41" r:id="rId7" xr:uid="{FB482C3A-2FA4-4F9E-8B24-B904C6B91D00}"/>
    <hyperlink ref="M10" r:id="rId8" xr:uid="{A3A493C9-987D-4FEC-8519-46DA311AA243}"/>
    <hyperlink ref="M87" r:id="rId9" xr:uid="{E8ED7B7C-B049-4C81-9115-785D20B3D2DC}"/>
    <hyperlink ref="AB49" r:id="rId10" xr:uid="{C0EC774D-5FE2-4100-BB69-75A973A37ECF}"/>
    <hyperlink ref="AB48" r:id="rId11" xr:uid="{1F969871-7CC3-4B59-9649-E4AF9529D45C}"/>
  </hyperlinks>
  <pageMargins left="0.7" right="0.7" top="0.75" bottom="0.75" header="0.3" footer="0.3"/>
  <pageSetup paperSize="9" orientation="portrait" r:id="rId12"/>
  <drawing r:id="rId1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A833-F817-466C-B9D5-8F9D56298EE5}">
  <sheetPr codeName="Ark8"/>
  <dimension ref="A1:AI209"/>
  <sheetViews>
    <sheetView zoomScaleNormal="100" workbookViewId="0">
      <selection activeCell="C237" sqref="C237"/>
    </sheetView>
  </sheetViews>
  <sheetFormatPr defaultRowHeight="14.5" x14ac:dyDescent="0.35"/>
  <cols>
    <col min="1" max="1" width="33.54296875" bestFit="1" customWidth="1"/>
    <col min="2" max="2" width="12.54296875" customWidth="1"/>
    <col min="3" max="3" width="11.54296875" customWidth="1"/>
    <col min="5" max="5" width="16.26953125" customWidth="1"/>
    <col min="11" max="11" width="19.54296875" customWidth="1"/>
    <col min="17" max="17" width="10.54296875" bestFit="1" customWidth="1"/>
    <col min="18" max="18" width="25.453125" bestFit="1" customWidth="1"/>
    <col min="20" max="20" width="26.453125" customWidth="1"/>
  </cols>
  <sheetData>
    <row r="1" spans="1:35" x14ac:dyDescent="0.35">
      <c r="A1" t="s">
        <v>13</v>
      </c>
      <c r="M1" t="s">
        <v>376</v>
      </c>
      <c r="O1" s="4" t="s">
        <v>76</v>
      </c>
      <c r="P1" s="4" t="s">
        <v>114</v>
      </c>
      <c r="Q1" s="4" t="s">
        <v>36</v>
      </c>
      <c r="R1" s="4" t="s">
        <v>37</v>
      </c>
      <c r="V1" t="s">
        <v>170</v>
      </c>
      <c r="W1" t="s">
        <v>302</v>
      </c>
      <c r="X1" s="139" t="s">
        <v>177</v>
      </c>
      <c r="Y1" s="140" t="s">
        <v>377</v>
      </c>
      <c r="Z1" s="139" t="s">
        <v>182</v>
      </c>
      <c r="AA1" s="140" t="s">
        <v>377</v>
      </c>
      <c r="AB1" s="139" t="s">
        <v>378</v>
      </c>
      <c r="AC1" s="140" t="s">
        <v>377</v>
      </c>
      <c r="AD1" s="139" t="s">
        <v>180</v>
      </c>
      <c r="AE1" s="140" t="s">
        <v>377</v>
      </c>
      <c r="AF1" s="248" t="s">
        <v>138</v>
      </c>
      <c r="AI1" t="s">
        <v>379</v>
      </c>
    </row>
    <row r="2" spans="1:35" hidden="1" x14ac:dyDescent="0.35">
      <c r="A2" t="s">
        <v>380</v>
      </c>
      <c r="B2">
        <v>120</v>
      </c>
      <c r="C2" t="s">
        <v>381</v>
      </c>
      <c r="D2" t="s">
        <v>382</v>
      </c>
      <c r="E2" t="s">
        <v>27</v>
      </c>
      <c r="F2" t="s">
        <v>271</v>
      </c>
      <c r="G2" t="s">
        <v>105</v>
      </c>
      <c r="H2" t="s">
        <v>343</v>
      </c>
      <c r="I2" t="s">
        <v>108</v>
      </c>
      <c r="J2" t="s">
        <v>115</v>
      </c>
      <c r="K2" t="s">
        <v>383</v>
      </c>
      <c r="L2">
        <v>2023</v>
      </c>
      <c r="M2" t="s">
        <v>26</v>
      </c>
      <c r="O2" t="s">
        <v>384</v>
      </c>
      <c r="P2" t="s">
        <v>384</v>
      </c>
      <c r="Q2" t="s">
        <v>384</v>
      </c>
      <c r="R2" t="s">
        <v>385</v>
      </c>
      <c r="T2" t="s">
        <v>386</v>
      </c>
      <c r="U2">
        <v>2.82</v>
      </c>
      <c r="W2">
        <v>0</v>
      </c>
      <c r="X2" s="141">
        <v>15</v>
      </c>
      <c r="Y2" s="148">
        <f>X2/Y13</f>
        <v>0.70833333333333337</v>
      </c>
      <c r="Z2">
        <v>12</v>
      </c>
      <c r="AA2">
        <v>0.06</v>
      </c>
      <c r="AB2" s="141">
        <v>14</v>
      </c>
      <c r="AC2" s="146">
        <v>0.108</v>
      </c>
      <c r="AD2" s="141">
        <v>6</v>
      </c>
      <c r="AE2" s="142">
        <v>0.11600000000000001</v>
      </c>
      <c r="AF2" s="249">
        <v>6</v>
      </c>
      <c r="AI2" t="s">
        <v>387</v>
      </c>
    </row>
    <row r="3" spans="1:35" hidden="1" x14ac:dyDescent="0.35">
      <c r="A3" t="s">
        <v>388</v>
      </c>
      <c r="B3">
        <v>120</v>
      </c>
      <c r="C3" t="s">
        <v>381</v>
      </c>
      <c r="D3" t="s">
        <v>389</v>
      </c>
      <c r="E3" t="s">
        <v>390</v>
      </c>
      <c r="F3" t="s">
        <v>343</v>
      </c>
      <c r="G3" t="s">
        <v>391</v>
      </c>
      <c r="H3" t="s">
        <v>298</v>
      </c>
      <c r="I3" t="s">
        <v>303</v>
      </c>
      <c r="J3" t="s">
        <v>309</v>
      </c>
      <c r="K3" t="s">
        <v>392</v>
      </c>
      <c r="L3">
        <v>2025</v>
      </c>
      <c r="M3" t="s">
        <v>50</v>
      </c>
      <c r="O3" t="s">
        <v>391</v>
      </c>
      <c r="P3" t="s">
        <v>391</v>
      </c>
      <c r="Q3" t="s">
        <v>391</v>
      </c>
      <c r="R3" t="s">
        <v>393</v>
      </c>
      <c r="X3" s="141">
        <v>18</v>
      </c>
      <c r="Y3" s="142">
        <v>0.85</v>
      </c>
      <c r="Z3">
        <v>15</v>
      </c>
      <c r="AA3">
        <v>0.09</v>
      </c>
      <c r="AB3" s="141">
        <v>16</v>
      </c>
      <c r="AC3" s="146">
        <v>0.125</v>
      </c>
      <c r="AD3" s="141">
        <v>8</v>
      </c>
      <c r="AE3" s="142">
        <v>0.161</v>
      </c>
      <c r="AF3" s="249">
        <v>8</v>
      </c>
      <c r="AI3" t="s">
        <v>394</v>
      </c>
    </row>
    <row r="4" spans="1:35" hidden="1" x14ac:dyDescent="0.35">
      <c r="A4" t="s">
        <v>395</v>
      </c>
      <c r="B4">
        <v>100</v>
      </c>
      <c r="C4" t="s">
        <v>381</v>
      </c>
      <c r="D4" t="s">
        <v>396</v>
      </c>
      <c r="E4" t="s">
        <v>397</v>
      </c>
      <c r="F4" t="s">
        <v>273</v>
      </c>
      <c r="G4" t="s">
        <v>384</v>
      </c>
      <c r="H4" t="s">
        <v>107</v>
      </c>
      <c r="I4" t="s">
        <v>383</v>
      </c>
      <c r="J4" t="s">
        <v>273</v>
      </c>
      <c r="K4" t="s">
        <v>398</v>
      </c>
      <c r="L4">
        <v>2027</v>
      </c>
      <c r="M4" t="s">
        <v>51</v>
      </c>
      <c r="O4" t="s">
        <v>106</v>
      </c>
      <c r="P4" t="s">
        <v>106</v>
      </c>
      <c r="Q4" t="s">
        <v>106</v>
      </c>
      <c r="R4" t="s">
        <v>399</v>
      </c>
      <c r="T4" t="str">
        <f>'LCA data'!W169</f>
        <v>2 lags energirude med kold kant</v>
      </c>
      <c r="U4">
        <v>1.42</v>
      </c>
      <c r="X4" s="141">
        <v>22</v>
      </c>
      <c r="Y4" s="142">
        <v>1.22</v>
      </c>
      <c r="Z4">
        <v>18</v>
      </c>
      <c r="AA4">
        <v>0.14000000000000001</v>
      </c>
      <c r="AB4" s="141">
        <v>20</v>
      </c>
      <c r="AC4" s="146">
        <v>0.14699999999999999</v>
      </c>
      <c r="AD4" s="141">
        <v>10</v>
      </c>
      <c r="AE4" s="142">
        <v>0.20599999999999999</v>
      </c>
      <c r="AF4" s="249">
        <v>10</v>
      </c>
    </row>
    <row r="5" spans="1:35" hidden="1" x14ac:dyDescent="0.35">
      <c r="A5" t="s">
        <v>400</v>
      </c>
      <c r="B5">
        <v>100</v>
      </c>
      <c r="C5" t="s">
        <v>381</v>
      </c>
      <c r="E5" t="s">
        <v>401</v>
      </c>
      <c r="F5" t="s">
        <v>274</v>
      </c>
      <c r="G5" t="s">
        <v>106</v>
      </c>
      <c r="H5" t="s">
        <v>299</v>
      </c>
      <c r="I5" t="s">
        <v>402</v>
      </c>
      <c r="J5" t="s">
        <v>310</v>
      </c>
      <c r="K5" t="s">
        <v>108</v>
      </c>
      <c r="L5">
        <v>2029</v>
      </c>
      <c r="M5" t="s">
        <v>53</v>
      </c>
      <c r="O5" t="s">
        <v>285</v>
      </c>
      <c r="P5" t="s">
        <v>285</v>
      </c>
      <c r="Q5" t="s">
        <v>285</v>
      </c>
      <c r="R5" t="s">
        <v>403</v>
      </c>
      <c r="T5" t="str">
        <f>'LCA data'!W170</f>
        <v>2 lags energirude med varm kant</v>
      </c>
      <c r="U5">
        <v>1.33</v>
      </c>
      <c r="X5" s="141">
        <v>28</v>
      </c>
      <c r="Y5" s="149">
        <v>1.58</v>
      </c>
      <c r="Z5">
        <v>20</v>
      </c>
      <c r="AA5">
        <v>0.11</v>
      </c>
      <c r="AB5" s="141">
        <v>26</v>
      </c>
      <c r="AC5" s="146">
        <v>0.252</v>
      </c>
      <c r="AD5" s="141">
        <v>12</v>
      </c>
      <c r="AE5" s="142">
        <v>0.308</v>
      </c>
      <c r="AF5" s="249">
        <v>12</v>
      </c>
    </row>
    <row r="6" spans="1:35" hidden="1" x14ac:dyDescent="0.35">
      <c r="A6" t="s">
        <v>25</v>
      </c>
      <c r="B6">
        <v>100</v>
      </c>
      <c r="C6" t="s">
        <v>381</v>
      </c>
      <c r="E6" t="s">
        <v>404</v>
      </c>
      <c r="F6" t="s">
        <v>275</v>
      </c>
      <c r="G6" t="s">
        <v>285</v>
      </c>
      <c r="H6" t="s">
        <v>271</v>
      </c>
      <c r="I6" t="s">
        <v>405</v>
      </c>
      <c r="J6" t="s">
        <v>277</v>
      </c>
      <c r="K6" t="s">
        <v>335</v>
      </c>
      <c r="O6" t="s">
        <v>406</v>
      </c>
      <c r="P6" t="s">
        <v>406</v>
      </c>
      <c r="Q6" t="s">
        <v>406</v>
      </c>
      <c r="R6" t="s">
        <v>407</v>
      </c>
      <c r="T6" t="str">
        <f>'LCA data'!W171</f>
        <v>3 lags energirude</v>
      </c>
      <c r="U6">
        <v>0.8</v>
      </c>
      <c r="X6" s="141">
        <v>35</v>
      </c>
      <c r="Y6" s="149">
        <v>2.44</v>
      </c>
      <c r="Z6">
        <v>22</v>
      </c>
      <c r="AA6">
        <v>0.17499999999999999</v>
      </c>
      <c r="AB6" s="141">
        <v>32</v>
      </c>
      <c r="AC6" s="146">
        <f>AB6/$AC$15</f>
        <v>0.25761853763022097</v>
      </c>
      <c r="AD6" s="141">
        <v>15</v>
      </c>
      <c r="AE6" s="142">
        <v>0.29099999999999998</v>
      </c>
      <c r="AF6" s="249">
        <v>15</v>
      </c>
    </row>
    <row r="7" spans="1:35" hidden="1" x14ac:dyDescent="0.35">
      <c r="A7" t="s">
        <v>408</v>
      </c>
      <c r="B7">
        <v>80</v>
      </c>
      <c r="C7" t="s">
        <v>381</v>
      </c>
      <c r="E7" t="s">
        <v>409</v>
      </c>
      <c r="F7" t="s">
        <v>351</v>
      </c>
      <c r="G7" t="s">
        <v>406</v>
      </c>
      <c r="H7" t="s">
        <v>402</v>
      </c>
      <c r="J7" t="s">
        <v>410</v>
      </c>
      <c r="K7" t="s">
        <v>402</v>
      </c>
      <c r="O7" t="s">
        <v>286</v>
      </c>
      <c r="P7" t="s">
        <v>286</v>
      </c>
      <c r="Q7" t="s">
        <v>286</v>
      </c>
      <c r="R7" t="s">
        <v>411</v>
      </c>
      <c r="X7" s="141">
        <v>42</v>
      </c>
      <c r="Y7" s="149">
        <v>3.14</v>
      </c>
      <c r="Z7" s="141">
        <v>25</v>
      </c>
      <c r="AA7" s="146">
        <f t="shared" ref="AA7:AA13" si="0">Z7/$AA$20</f>
        <v>0.15571074201898188</v>
      </c>
      <c r="AB7" s="141">
        <v>40</v>
      </c>
      <c r="AC7" s="146">
        <f>AB7/$AC$15</f>
        <v>0.32202317203777625</v>
      </c>
      <c r="AD7" s="141">
        <v>18</v>
      </c>
      <c r="AE7" s="142">
        <v>0.47499999999999998</v>
      </c>
      <c r="AF7" s="249">
        <v>18</v>
      </c>
    </row>
    <row r="8" spans="1:35" hidden="1" x14ac:dyDescent="0.35">
      <c r="A8" t="s">
        <v>412</v>
      </c>
      <c r="B8">
        <v>60</v>
      </c>
      <c r="C8" t="s">
        <v>381</v>
      </c>
      <c r="F8" t="s">
        <v>402</v>
      </c>
      <c r="G8" t="s">
        <v>413</v>
      </c>
      <c r="J8" t="s">
        <v>402</v>
      </c>
      <c r="K8" t="s">
        <v>405</v>
      </c>
      <c r="O8" t="s">
        <v>287</v>
      </c>
      <c r="P8" t="s">
        <v>287</v>
      </c>
      <c r="Q8" t="s">
        <v>287</v>
      </c>
      <c r="R8" t="s">
        <v>414</v>
      </c>
      <c r="T8" t="str">
        <f>'LCA data'!W173</f>
        <v>Brugerdefineret_1</v>
      </c>
      <c r="U8">
        <f>AVERAGE(U1:U7)</f>
        <v>1.5925</v>
      </c>
      <c r="X8" s="141">
        <v>54</v>
      </c>
      <c r="Y8" s="149">
        <f>X8/Y17</f>
        <v>4.0371428571428574</v>
      </c>
      <c r="Z8" s="141">
        <v>32</v>
      </c>
      <c r="AA8" s="146">
        <f t="shared" si="0"/>
        <v>0.1993097497842968</v>
      </c>
      <c r="AB8" s="141">
        <v>53</v>
      </c>
      <c r="AC8" s="146">
        <f>AB8/$AC$15</f>
        <v>0.4266807029500535</v>
      </c>
      <c r="AD8" s="141">
        <v>22</v>
      </c>
      <c r="AE8" s="142">
        <v>0.58699999999999997</v>
      </c>
      <c r="AF8" s="249">
        <v>22</v>
      </c>
    </row>
    <row r="9" spans="1:35" ht="15" hidden="1" thickBot="1" x14ac:dyDescent="0.4">
      <c r="G9" t="s">
        <v>402</v>
      </c>
      <c r="O9" t="s">
        <v>402</v>
      </c>
      <c r="P9" t="s">
        <v>402</v>
      </c>
      <c r="Q9" t="s">
        <v>402</v>
      </c>
      <c r="R9" t="s">
        <v>415</v>
      </c>
      <c r="T9" t="str">
        <f>'LCA data'!W174</f>
        <v>Brugerdefineret_2</v>
      </c>
      <c r="X9" s="141">
        <v>76</v>
      </c>
      <c r="Y9" s="149">
        <f>X9/Y17</f>
        <v>5.6819047619047618</v>
      </c>
      <c r="Z9" s="141">
        <v>40</v>
      </c>
      <c r="AA9" s="146">
        <f t="shared" si="0"/>
        <v>0.24913718723037101</v>
      </c>
      <c r="AB9" s="143">
        <v>63</v>
      </c>
      <c r="AC9" s="147">
        <f>AB9/$AC$15</f>
        <v>0.50718649595949761</v>
      </c>
      <c r="AD9" s="141">
        <v>28</v>
      </c>
      <c r="AE9" s="142">
        <v>0.89900000000000002</v>
      </c>
      <c r="AF9" s="249">
        <v>28</v>
      </c>
    </row>
    <row r="10" spans="1:35" hidden="1" x14ac:dyDescent="0.35">
      <c r="R10" t="s">
        <v>416</v>
      </c>
      <c r="T10" t="str">
        <f>'LCA data'!W175</f>
        <v>Brugerdefineret_3</v>
      </c>
      <c r="X10" s="141">
        <v>88</v>
      </c>
      <c r="Y10" s="149">
        <f>X10/Y17</f>
        <v>6.5790476190476195</v>
      </c>
      <c r="Z10" s="141">
        <v>50</v>
      </c>
      <c r="AA10" s="146">
        <f t="shared" si="0"/>
        <v>0.31142148403796377</v>
      </c>
      <c r="AB10" s="139" t="s">
        <v>417</v>
      </c>
      <c r="AC10" s="140"/>
      <c r="AD10">
        <v>35</v>
      </c>
      <c r="AE10" s="142">
        <v>1.4</v>
      </c>
      <c r="AF10" s="249">
        <v>35</v>
      </c>
    </row>
    <row r="11" spans="1:35" ht="15" hidden="1" thickBot="1" x14ac:dyDescent="0.4">
      <c r="R11" t="s">
        <v>418</v>
      </c>
      <c r="X11" s="143">
        <v>108</v>
      </c>
      <c r="Y11" s="150">
        <f>X11/Y17</f>
        <v>8.0742857142857147</v>
      </c>
      <c r="Z11" s="141">
        <v>63</v>
      </c>
      <c r="AA11" s="146">
        <f t="shared" si="0"/>
        <v>0.39239106988783434</v>
      </c>
      <c r="AB11" s="141">
        <f>AB2</f>
        <v>14</v>
      </c>
      <c r="AC11" s="142">
        <f>AB2/AC2</f>
        <v>129.62962962962962</v>
      </c>
      <c r="AD11">
        <v>42</v>
      </c>
      <c r="AE11" s="142">
        <v>1.7</v>
      </c>
      <c r="AF11" s="249">
        <v>42</v>
      </c>
    </row>
    <row r="12" spans="1:35" ht="15" hidden="1" thickBot="1" x14ac:dyDescent="0.4">
      <c r="R12" t="s">
        <v>419</v>
      </c>
      <c r="X12" s="139" t="s">
        <v>417</v>
      </c>
      <c r="Y12" s="140"/>
      <c r="Z12" s="141">
        <v>75</v>
      </c>
      <c r="AA12" s="146">
        <f t="shared" si="0"/>
        <v>0.46713222605694565</v>
      </c>
      <c r="AB12" s="141">
        <f>AB3</f>
        <v>16</v>
      </c>
      <c r="AC12" s="142">
        <f>AB3/AC3</f>
        <v>128</v>
      </c>
      <c r="AD12" s="145">
        <v>54</v>
      </c>
      <c r="AE12" s="144">
        <v>2.2000000000000002</v>
      </c>
      <c r="AF12" s="250">
        <v>54</v>
      </c>
    </row>
    <row r="13" spans="1:35" hidden="1" x14ac:dyDescent="0.35">
      <c r="B13" t="s">
        <v>420</v>
      </c>
      <c r="C13" t="s">
        <v>421</v>
      </c>
      <c r="D13" t="s">
        <v>422</v>
      </c>
      <c r="F13" t="s">
        <v>423</v>
      </c>
      <c r="R13" t="s">
        <v>424</v>
      </c>
      <c r="X13" s="141">
        <v>18</v>
      </c>
      <c r="Y13" s="142">
        <f>X3/Y3</f>
        <v>21.176470588235293</v>
      </c>
      <c r="Z13" s="141">
        <v>90</v>
      </c>
      <c r="AA13" s="146">
        <f t="shared" si="0"/>
        <v>0.56055867126833481</v>
      </c>
      <c r="AB13" s="141">
        <f>AB4</f>
        <v>20</v>
      </c>
      <c r="AC13" s="142">
        <f>AB4/AC4</f>
        <v>136.0544217687075</v>
      </c>
    </row>
    <row r="14" spans="1:35" ht="17" hidden="1" thickBot="1" x14ac:dyDescent="0.5">
      <c r="A14" t="s">
        <v>27</v>
      </c>
      <c r="B14" t="s">
        <v>172</v>
      </c>
      <c r="C14">
        <v>1</v>
      </c>
      <c r="D14">
        <f>Antagelser!C21</f>
        <v>7.4200000000000002E-2</v>
      </c>
      <c r="E14" t="s">
        <v>425</v>
      </c>
      <c r="G14" t="s">
        <v>426</v>
      </c>
      <c r="R14" t="s">
        <v>427</v>
      </c>
      <c r="X14" s="141">
        <v>22</v>
      </c>
      <c r="Y14" s="142">
        <f>X4/Y4</f>
        <v>18.032786885245901</v>
      </c>
      <c r="Z14" s="143">
        <v>110</v>
      </c>
      <c r="AA14" s="146">
        <f>Z14/$AA$20</f>
        <v>0.68512726488352027</v>
      </c>
      <c r="AB14" s="141">
        <f>AB5</f>
        <v>26</v>
      </c>
      <c r="AC14" s="142">
        <f>AB5/AC5</f>
        <v>103.17460317460318</v>
      </c>
    </row>
    <row r="15" spans="1:35" ht="17" hidden="1" thickBot="1" x14ac:dyDescent="0.5">
      <c r="A15" t="s">
        <v>390</v>
      </c>
      <c r="B15" t="s">
        <v>240</v>
      </c>
      <c r="C15">
        <v>11</v>
      </c>
      <c r="D15">
        <f>Antagelser!C22</f>
        <v>0.11</v>
      </c>
      <c r="E15" t="s">
        <v>425</v>
      </c>
      <c r="F15">
        <v>0.84</v>
      </c>
      <c r="X15" s="141">
        <v>28</v>
      </c>
      <c r="Y15">
        <f>X5/Y5</f>
        <v>17.721518987341771</v>
      </c>
      <c r="Z15" s="139">
        <v>12</v>
      </c>
      <c r="AA15" s="151">
        <f>Z2/AA2</f>
        <v>200</v>
      </c>
      <c r="AB15" s="145" t="s">
        <v>428</v>
      </c>
      <c r="AC15" s="144">
        <f>AVERAGE(AC11:AC14)</f>
        <v>124.21466364323508</v>
      </c>
    </row>
    <row r="16" spans="1:35" ht="16.5" hidden="1" x14ac:dyDescent="0.45">
      <c r="A16" t="s">
        <v>401</v>
      </c>
      <c r="B16" t="s">
        <v>172</v>
      </c>
      <c r="C16">
        <v>1</v>
      </c>
      <c r="D16">
        <f>Antagelser!C23</f>
        <v>6.4000000000000001E-2</v>
      </c>
      <c r="E16" t="s">
        <v>425</v>
      </c>
      <c r="X16" s="141">
        <v>35</v>
      </c>
      <c r="Y16">
        <f>X6/Y6</f>
        <v>14.344262295081968</v>
      </c>
      <c r="Z16" s="141">
        <v>15</v>
      </c>
      <c r="AA16" s="149">
        <f>Z3/AA3</f>
        <v>166.66666666666669</v>
      </c>
      <c r="AB16" t="s">
        <v>429</v>
      </c>
    </row>
    <row r="17" spans="1:28" ht="17" hidden="1" thickBot="1" x14ac:dyDescent="0.5">
      <c r="A17" t="s">
        <v>397</v>
      </c>
      <c r="B17" t="s">
        <v>172</v>
      </c>
      <c r="C17">
        <v>1</v>
      </c>
      <c r="D17">
        <f>Antagelser!C24</f>
        <v>6.4000000000000001E-2</v>
      </c>
      <c r="E17" t="s">
        <v>425</v>
      </c>
      <c r="G17" t="s">
        <v>426</v>
      </c>
      <c r="X17" s="143">
        <v>42</v>
      </c>
      <c r="Y17" s="145">
        <f>X7/Y7</f>
        <v>13.375796178343949</v>
      </c>
      <c r="Z17" s="141">
        <v>18</v>
      </c>
      <c r="AA17" s="149">
        <f>Z4/AA4</f>
        <v>128.57142857142856</v>
      </c>
      <c r="AB17" t="s">
        <v>430</v>
      </c>
    </row>
    <row r="18" spans="1:28" ht="21" hidden="1" x14ac:dyDescent="0.5">
      <c r="H18" s="80" t="s">
        <v>431</v>
      </c>
      <c r="O18" t="s">
        <v>432</v>
      </c>
      <c r="R18" t="s">
        <v>433</v>
      </c>
      <c r="T18" t="s">
        <v>434</v>
      </c>
      <c r="X18" t="s">
        <v>429</v>
      </c>
      <c r="Z18" s="141">
        <v>20</v>
      </c>
      <c r="AA18" s="149">
        <f>Z5/AA5</f>
        <v>181.81818181818181</v>
      </c>
    </row>
    <row r="19" spans="1:28" ht="16.5" hidden="1" x14ac:dyDescent="0.45">
      <c r="A19" t="s">
        <v>435</v>
      </c>
      <c r="B19" t="s">
        <v>24</v>
      </c>
      <c r="C19">
        <v>4861</v>
      </c>
      <c r="D19">
        <v>0</v>
      </c>
      <c r="E19" t="s">
        <v>425</v>
      </c>
      <c r="F19">
        <v>1000</v>
      </c>
      <c r="H19" t="s">
        <v>436</v>
      </c>
      <c r="I19" t="s">
        <v>437</v>
      </c>
      <c r="O19" t="s">
        <v>438</v>
      </c>
      <c r="R19" t="s">
        <v>28</v>
      </c>
      <c r="T19" t="e">
        <f>Antagelser!#REF!</f>
        <v>#REF!</v>
      </c>
      <c r="X19" t="s">
        <v>439</v>
      </c>
      <c r="Z19" s="141">
        <v>22</v>
      </c>
      <c r="AA19" s="149">
        <f>Z6/AA6</f>
        <v>125.71428571428572</v>
      </c>
    </row>
    <row r="20" spans="1:28" ht="17" hidden="1" thickBot="1" x14ac:dyDescent="0.5">
      <c r="A20" t="s">
        <v>440</v>
      </c>
      <c r="B20" t="s">
        <v>441</v>
      </c>
      <c r="C20">
        <v>2200</v>
      </c>
      <c r="D20">
        <v>0</v>
      </c>
      <c r="E20" t="s">
        <v>425</v>
      </c>
      <c r="F20">
        <v>550</v>
      </c>
      <c r="H20" t="s">
        <v>442</v>
      </c>
      <c r="I20" t="s">
        <v>443</v>
      </c>
      <c r="O20" t="s">
        <v>444</v>
      </c>
      <c r="R20" t="s">
        <v>445</v>
      </c>
      <c r="T20" t="str">
        <f>Antagelser!B364</f>
        <v>Lavenergiklasse</v>
      </c>
      <c r="Z20" s="143" t="s">
        <v>446</v>
      </c>
      <c r="AA20" s="150">
        <f>AVERAGE(AA15:AA19)</f>
        <v>160.55411255411255</v>
      </c>
    </row>
    <row r="21" spans="1:28" ht="16.5" hidden="1" x14ac:dyDescent="0.45">
      <c r="A21" t="s">
        <v>291</v>
      </c>
      <c r="B21" t="s">
        <v>24</v>
      </c>
      <c r="C21">
        <v>4028</v>
      </c>
      <c r="D21">
        <v>0</v>
      </c>
      <c r="E21" t="s">
        <v>425</v>
      </c>
      <c r="F21">
        <v>1000</v>
      </c>
      <c r="H21">
        <v>0.18</v>
      </c>
      <c r="I21">
        <v>7.2</v>
      </c>
      <c r="T21" t="str">
        <f>Antagelser!B365</f>
        <v>Bygningsklasse 2018</v>
      </c>
    </row>
    <row r="22" spans="1:28" hidden="1" x14ac:dyDescent="0.35">
      <c r="H22">
        <v>0.22</v>
      </c>
      <c r="I22">
        <v>8.8000000000000007</v>
      </c>
      <c r="T22">
        <f>Antagelser!B367</f>
        <v>0</v>
      </c>
    </row>
    <row r="23" spans="1:28" hidden="1" x14ac:dyDescent="0.35">
      <c r="H23">
        <v>0.27</v>
      </c>
      <c r="I23">
        <v>10.8</v>
      </c>
      <c r="T23">
        <f>Antagelser!B368</f>
        <v>0</v>
      </c>
    </row>
    <row r="24" spans="1:28" hidden="1" x14ac:dyDescent="0.35">
      <c r="H24">
        <v>0.32</v>
      </c>
      <c r="I24">
        <v>12.8</v>
      </c>
      <c r="R24" s="14" t="s">
        <v>447</v>
      </c>
      <c r="T24">
        <f>Antagelser!B369</f>
        <v>0</v>
      </c>
    </row>
    <row r="25" spans="1:28" hidden="1" x14ac:dyDescent="0.35">
      <c r="A25" t="s">
        <v>448</v>
      </c>
      <c r="R25" s="14"/>
      <c r="T25">
        <f>Antagelser!B370</f>
        <v>0</v>
      </c>
    </row>
    <row r="26" spans="1:28" hidden="1" x14ac:dyDescent="0.35">
      <c r="H26" t="s">
        <v>449</v>
      </c>
      <c r="I26" t="s">
        <v>450</v>
      </c>
      <c r="R26" s="14" t="s">
        <v>346</v>
      </c>
      <c r="T26">
        <f>Antagelser!B371</f>
        <v>0</v>
      </c>
    </row>
    <row r="27" spans="1:28" hidden="1" x14ac:dyDescent="0.35">
      <c r="H27" t="s">
        <v>94</v>
      </c>
      <c r="I27" t="s">
        <v>443</v>
      </c>
      <c r="R27" s="14" t="s">
        <v>451</v>
      </c>
      <c r="T27">
        <f>Antagelser!B372</f>
        <v>0</v>
      </c>
    </row>
    <row r="28" spans="1:28" hidden="1" x14ac:dyDescent="0.35">
      <c r="H28">
        <v>0.16</v>
      </c>
      <c r="I28">
        <v>20.8</v>
      </c>
      <c r="R28" s="14" t="s">
        <v>452</v>
      </c>
    </row>
    <row r="29" spans="1:28" hidden="1" x14ac:dyDescent="0.35">
      <c r="H29">
        <v>0.2</v>
      </c>
      <c r="I29">
        <v>26</v>
      </c>
      <c r="R29" s="14" t="s">
        <v>347</v>
      </c>
    </row>
    <row r="30" spans="1:28" hidden="1" x14ac:dyDescent="0.35">
      <c r="H30">
        <v>0.24</v>
      </c>
      <c r="I30">
        <v>31.2</v>
      </c>
      <c r="R30" s="14" t="s">
        <v>348</v>
      </c>
    </row>
    <row r="31" spans="1:28" hidden="1" x14ac:dyDescent="0.35">
      <c r="C31" t="s">
        <v>1083</v>
      </c>
      <c r="E31" t="s">
        <v>1049</v>
      </c>
      <c r="F31" t="s">
        <v>1058</v>
      </c>
      <c r="R31" s="14" t="s">
        <v>280</v>
      </c>
    </row>
    <row r="32" spans="1:28" hidden="1" x14ac:dyDescent="0.35">
      <c r="C32" t="s">
        <v>1084</v>
      </c>
      <c r="E32" t="s">
        <v>1074</v>
      </c>
      <c r="F32" t="s">
        <v>1043</v>
      </c>
      <c r="H32" t="s">
        <v>453</v>
      </c>
      <c r="I32" t="s">
        <v>454</v>
      </c>
      <c r="R32" s="14" t="s">
        <v>281</v>
      </c>
    </row>
    <row r="33" spans="3:18" hidden="1" x14ac:dyDescent="0.35">
      <c r="C33" t="s">
        <v>1046</v>
      </c>
      <c r="E33" t="s">
        <v>1073</v>
      </c>
      <c r="F33" t="s">
        <v>1057</v>
      </c>
      <c r="H33" t="s">
        <v>442</v>
      </c>
      <c r="I33" t="s">
        <v>443</v>
      </c>
      <c r="R33" s="14" t="s">
        <v>282</v>
      </c>
    </row>
    <row r="34" spans="3:18" hidden="1" x14ac:dyDescent="0.35">
      <c r="C34" t="s">
        <v>1067</v>
      </c>
      <c r="E34" t="s">
        <v>1072</v>
      </c>
      <c r="H34">
        <v>0.12</v>
      </c>
      <c r="I34">
        <v>3.6</v>
      </c>
    </row>
    <row r="35" spans="3:18" hidden="1" x14ac:dyDescent="0.35">
      <c r="C35" t="s">
        <v>1045</v>
      </c>
      <c r="E35" t="s">
        <v>1048</v>
      </c>
      <c r="H35">
        <v>0.15</v>
      </c>
      <c r="I35">
        <v>7.5</v>
      </c>
    </row>
    <row r="36" spans="3:18" hidden="1" x14ac:dyDescent="0.35">
      <c r="C36" t="s">
        <v>1066</v>
      </c>
      <c r="E36" t="s">
        <v>1071</v>
      </c>
      <c r="H36">
        <v>0.2</v>
      </c>
      <c r="I36">
        <v>16</v>
      </c>
    </row>
    <row r="37" spans="3:18" hidden="1" x14ac:dyDescent="0.35">
      <c r="C37" t="s">
        <v>1065</v>
      </c>
      <c r="E37" t="s">
        <v>1070</v>
      </c>
      <c r="H37">
        <v>0.25</v>
      </c>
      <c r="I37">
        <v>25</v>
      </c>
    </row>
    <row r="38" spans="3:18" hidden="1" x14ac:dyDescent="0.35">
      <c r="C38" t="s">
        <v>1064</v>
      </c>
      <c r="E38" t="s">
        <v>1069</v>
      </c>
    </row>
    <row r="39" spans="3:18" hidden="1" x14ac:dyDescent="0.35"/>
    <row r="40" spans="3:18" hidden="1" x14ac:dyDescent="0.35">
      <c r="H40" t="s">
        <v>455</v>
      </c>
      <c r="I40" t="s">
        <v>456</v>
      </c>
    </row>
    <row r="41" spans="3:18" hidden="1" x14ac:dyDescent="0.35">
      <c r="H41" t="s">
        <v>442</v>
      </c>
      <c r="I41" t="s">
        <v>443</v>
      </c>
    </row>
    <row r="42" spans="3:18" hidden="1" x14ac:dyDescent="0.35">
      <c r="C42" t="s">
        <v>153</v>
      </c>
      <c r="H42">
        <v>0.12</v>
      </c>
      <c r="I42">
        <v>7.2</v>
      </c>
    </row>
    <row r="43" spans="3:18" hidden="1" x14ac:dyDescent="0.35">
      <c r="C43" t="str">
        <f>'LCA data'!$W$256</f>
        <v>Standard solcelle</v>
      </c>
      <c r="H43">
        <v>0.15</v>
      </c>
      <c r="I43">
        <v>9</v>
      </c>
    </row>
    <row r="44" spans="3:18" hidden="1" x14ac:dyDescent="0.35">
      <c r="C44" t="s">
        <v>827</v>
      </c>
      <c r="H44">
        <v>0.18</v>
      </c>
      <c r="I44">
        <v>10.4</v>
      </c>
    </row>
    <row r="45" spans="3:18" hidden="1" x14ac:dyDescent="0.35">
      <c r="H45">
        <v>0.2</v>
      </c>
      <c r="I45">
        <v>12</v>
      </c>
    </row>
    <row r="46" spans="3:18" hidden="1" x14ac:dyDescent="0.35"/>
    <row r="47" spans="3:18" hidden="1" x14ac:dyDescent="0.35"/>
    <row r="48" spans="3:1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spans="1:8" hidden="1" x14ac:dyDescent="0.35"/>
    <row r="66" spans="1:8" hidden="1" x14ac:dyDescent="0.35"/>
    <row r="67" spans="1:8" hidden="1" x14ac:dyDescent="0.35"/>
    <row r="68" spans="1:8" hidden="1" x14ac:dyDescent="0.35"/>
    <row r="69" spans="1:8" hidden="1" x14ac:dyDescent="0.35"/>
    <row r="70" spans="1:8" hidden="1" x14ac:dyDescent="0.35"/>
    <row r="71" spans="1:8" hidden="1" x14ac:dyDescent="0.35"/>
    <row r="72" spans="1:8" hidden="1" x14ac:dyDescent="0.35"/>
    <row r="73" spans="1:8" hidden="1" x14ac:dyDescent="0.35"/>
    <row r="74" spans="1:8" hidden="1" x14ac:dyDescent="0.35"/>
    <row r="75" spans="1:8" hidden="1" x14ac:dyDescent="0.35"/>
    <row r="76" spans="1:8" hidden="1" x14ac:dyDescent="0.35"/>
    <row r="77" spans="1:8" hidden="1" x14ac:dyDescent="0.35">
      <c r="A77" t="s">
        <v>457</v>
      </c>
      <c r="B77" t="s">
        <v>257</v>
      </c>
      <c r="C77" t="s">
        <v>258</v>
      </c>
      <c r="D77" t="s">
        <v>261</v>
      </c>
      <c r="E77" t="s">
        <v>262</v>
      </c>
      <c r="F77" t="s">
        <v>458</v>
      </c>
      <c r="G77" t="s">
        <v>263</v>
      </c>
      <c r="H77" t="s">
        <v>459</v>
      </c>
    </row>
    <row r="78" spans="1:8" hidden="1" x14ac:dyDescent="0.35">
      <c r="A78" t="s">
        <v>460</v>
      </c>
      <c r="H78" t="s">
        <v>461</v>
      </c>
    </row>
    <row r="79" spans="1:8" hidden="1" x14ac:dyDescent="0.35">
      <c r="A79" t="s">
        <v>462</v>
      </c>
      <c r="C79">
        <v>40.31</v>
      </c>
      <c r="D79">
        <v>0.72119999999999995</v>
      </c>
      <c r="E79">
        <v>0.39960000000000001</v>
      </c>
      <c r="F79">
        <f>SUM(C79:E79)</f>
        <v>41.430800000000005</v>
      </c>
      <c r="G79" s="3" t="s">
        <v>463</v>
      </c>
    </row>
    <row r="80" spans="1:8" hidden="1" x14ac:dyDescent="0.35">
      <c r="A80" t="s">
        <v>464</v>
      </c>
    </row>
    <row r="81" spans="1:1" hidden="1" x14ac:dyDescent="0.35"/>
    <row r="82" spans="1:1" hidden="1" x14ac:dyDescent="0.35">
      <c r="A82" t="s">
        <v>465</v>
      </c>
    </row>
    <row r="83" spans="1:1" hidden="1" x14ac:dyDescent="0.35">
      <c r="A83" t="s">
        <v>466</v>
      </c>
    </row>
    <row r="84" spans="1:1" hidden="1" x14ac:dyDescent="0.35">
      <c r="A84" t="s">
        <v>467</v>
      </c>
    </row>
    <row r="85" spans="1:1" hidden="1" x14ac:dyDescent="0.35">
      <c r="A85" t="s">
        <v>468</v>
      </c>
    </row>
    <row r="86" spans="1:1" hidden="1" x14ac:dyDescent="0.35">
      <c r="A86" t="s">
        <v>469</v>
      </c>
    </row>
    <row r="87" spans="1:1" hidden="1" x14ac:dyDescent="0.35"/>
    <row r="88" spans="1:1" hidden="1" x14ac:dyDescent="0.35">
      <c r="A88" t="s">
        <v>470</v>
      </c>
    </row>
    <row r="89" spans="1:1" hidden="1" x14ac:dyDescent="0.35">
      <c r="A89" t="s">
        <v>471</v>
      </c>
    </row>
    <row r="90" spans="1:1" hidden="1" x14ac:dyDescent="0.35"/>
    <row r="91" spans="1:1" hidden="1" x14ac:dyDescent="0.35">
      <c r="A91" t="s">
        <v>472</v>
      </c>
    </row>
    <row r="92" spans="1:1" hidden="1" x14ac:dyDescent="0.35">
      <c r="A92" t="s">
        <v>473</v>
      </c>
    </row>
    <row r="93" spans="1:1" hidden="1" x14ac:dyDescent="0.35">
      <c r="A93" t="s">
        <v>467</v>
      </c>
    </row>
    <row r="94" spans="1:1" hidden="1" x14ac:dyDescent="0.35">
      <c r="A94" t="s">
        <v>473</v>
      </c>
    </row>
    <row r="95" spans="1:1" hidden="1" x14ac:dyDescent="0.35"/>
    <row r="96" spans="1:1" hidden="1" x14ac:dyDescent="0.35">
      <c r="A96" t="s">
        <v>474</v>
      </c>
    </row>
    <row r="97" spans="1:10" hidden="1" x14ac:dyDescent="0.35">
      <c r="A97" t="s">
        <v>338</v>
      </c>
    </row>
    <row r="98" spans="1:10" hidden="1" x14ac:dyDescent="0.35">
      <c r="A98" t="s">
        <v>343</v>
      </c>
    </row>
    <row r="99" spans="1:10" hidden="1" x14ac:dyDescent="0.35">
      <c r="A99" t="s">
        <v>475</v>
      </c>
    </row>
    <row r="100" spans="1:10" hidden="1" x14ac:dyDescent="0.35">
      <c r="A100" t="s">
        <v>332</v>
      </c>
    </row>
    <row r="101" spans="1:10" hidden="1" x14ac:dyDescent="0.35"/>
    <row r="102" spans="1:10" hidden="1" x14ac:dyDescent="0.35"/>
    <row r="103" spans="1:10" hidden="1" x14ac:dyDescent="0.35">
      <c r="J103" s="666">
        <f>1-$F$105-$G$105-H105</f>
        <v>1</v>
      </c>
    </row>
    <row r="104" spans="1:10" hidden="1" x14ac:dyDescent="0.35"/>
    <row r="105" spans="1:10" hidden="1" x14ac:dyDescent="0.35">
      <c r="F105" s="666">
        <f>Scenarier!$C$84</f>
        <v>0</v>
      </c>
      <c r="G105" s="666">
        <f>Scenarier!$C$95</f>
        <v>0</v>
      </c>
      <c r="H105" s="666">
        <f>Scenarier!$C$106</f>
        <v>0</v>
      </c>
    </row>
    <row r="106" spans="1:10" hidden="1" x14ac:dyDescent="0.35"/>
    <row r="107" spans="1:10" hidden="1" x14ac:dyDescent="0.35">
      <c r="F107" s="664">
        <v>0</v>
      </c>
      <c r="G107" s="664">
        <f>IF(OR(F107&gt;(1-$F$105),(F107=(1-$F$105))),0,F107)</f>
        <v>0</v>
      </c>
      <c r="H107" s="664">
        <f>IF(G107&gt;(1-$F$105-$G$105),0,G107)</f>
        <v>0</v>
      </c>
      <c r="I107" s="664">
        <f>IF(H107&gt;(1-$F$105-$G$105-$H$105),0,H107)</f>
        <v>0</v>
      </c>
    </row>
    <row r="108" spans="1:10" hidden="1" x14ac:dyDescent="0.35">
      <c r="F108" s="664">
        <v>0.01</v>
      </c>
      <c r="G108" s="664">
        <f t="shared" ref="G108:G171" si="1">IF(F108&gt;(1-$F$105),0,F108)</f>
        <v>0.01</v>
      </c>
      <c r="H108" s="664">
        <f t="shared" ref="H108:H171" si="2">IF(G108&gt;(1-$F$105-$G$105),0,G108)</f>
        <v>0.01</v>
      </c>
      <c r="I108" s="664">
        <f t="shared" ref="I108:I171" si="3">IF(H108&gt;(1-$F$105-$G$105-$H$105),0,H108)</f>
        <v>0.01</v>
      </c>
    </row>
    <row r="109" spans="1:10" hidden="1" x14ac:dyDescent="0.35">
      <c r="F109" s="664">
        <v>0.02</v>
      </c>
      <c r="G109" s="664">
        <f t="shared" si="1"/>
        <v>0.02</v>
      </c>
      <c r="H109" s="664">
        <f t="shared" si="2"/>
        <v>0.02</v>
      </c>
      <c r="I109" s="664">
        <f t="shared" si="3"/>
        <v>0.02</v>
      </c>
    </row>
    <row r="110" spans="1:10" hidden="1" x14ac:dyDescent="0.35">
      <c r="F110" s="664">
        <v>0.03</v>
      </c>
      <c r="G110" s="664">
        <f t="shared" si="1"/>
        <v>0.03</v>
      </c>
      <c r="H110" s="664">
        <f t="shared" si="2"/>
        <v>0.03</v>
      </c>
      <c r="I110" s="664">
        <f t="shared" si="3"/>
        <v>0.03</v>
      </c>
    </row>
    <row r="111" spans="1:10" hidden="1" x14ac:dyDescent="0.35">
      <c r="F111" s="664">
        <v>0.04</v>
      </c>
      <c r="G111" s="664">
        <f t="shared" si="1"/>
        <v>0.04</v>
      </c>
      <c r="H111" s="664">
        <f t="shared" si="2"/>
        <v>0.04</v>
      </c>
      <c r="I111" s="664">
        <f t="shared" si="3"/>
        <v>0.04</v>
      </c>
    </row>
    <row r="112" spans="1:10" hidden="1" x14ac:dyDescent="0.35">
      <c r="F112" s="664">
        <v>0.05</v>
      </c>
      <c r="G112" s="664">
        <f t="shared" si="1"/>
        <v>0.05</v>
      </c>
      <c r="H112" s="664">
        <f t="shared" si="2"/>
        <v>0.05</v>
      </c>
      <c r="I112" s="664">
        <f t="shared" si="3"/>
        <v>0.05</v>
      </c>
    </row>
    <row r="113" spans="6:9" hidden="1" x14ac:dyDescent="0.35">
      <c r="F113" s="664">
        <v>0.06</v>
      </c>
      <c r="G113" s="664">
        <f t="shared" si="1"/>
        <v>0.06</v>
      </c>
      <c r="H113" s="664">
        <f t="shared" si="2"/>
        <v>0.06</v>
      </c>
      <c r="I113" s="664">
        <f t="shared" si="3"/>
        <v>0.06</v>
      </c>
    </row>
    <row r="114" spans="6:9" hidden="1" x14ac:dyDescent="0.35">
      <c r="F114" s="664">
        <v>7.0000000000000007E-2</v>
      </c>
      <c r="G114" s="664">
        <f t="shared" si="1"/>
        <v>7.0000000000000007E-2</v>
      </c>
      <c r="H114" s="664">
        <f t="shared" si="2"/>
        <v>7.0000000000000007E-2</v>
      </c>
      <c r="I114" s="664">
        <f t="shared" si="3"/>
        <v>7.0000000000000007E-2</v>
      </c>
    </row>
    <row r="115" spans="6:9" hidden="1" x14ac:dyDescent="0.35">
      <c r="F115" s="664">
        <v>0.08</v>
      </c>
      <c r="G115" s="664">
        <f t="shared" si="1"/>
        <v>0.08</v>
      </c>
      <c r="H115" s="664">
        <f t="shared" si="2"/>
        <v>0.08</v>
      </c>
      <c r="I115" s="664">
        <f t="shared" si="3"/>
        <v>0.08</v>
      </c>
    </row>
    <row r="116" spans="6:9" hidden="1" x14ac:dyDescent="0.35">
      <c r="F116" s="664">
        <v>0.09</v>
      </c>
      <c r="G116" s="664">
        <f t="shared" si="1"/>
        <v>0.09</v>
      </c>
      <c r="H116" s="664">
        <f t="shared" si="2"/>
        <v>0.09</v>
      </c>
      <c r="I116" s="664">
        <f t="shared" si="3"/>
        <v>0.09</v>
      </c>
    </row>
    <row r="117" spans="6:9" hidden="1" x14ac:dyDescent="0.35">
      <c r="F117" s="664">
        <v>0.1</v>
      </c>
      <c r="G117" s="664">
        <f t="shared" si="1"/>
        <v>0.1</v>
      </c>
      <c r="H117" s="664">
        <f t="shared" si="2"/>
        <v>0.1</v>
      </c>
      <c r="I117" s="664">
        <f t="shared" si="3"/>
        <v>0.1</v>
      </c>
    </row>
    <row r="118" spans="6:9" hidden="1" x14ac:dyDescent="0.35">
      <c r="F118" s="664">
        <v>0.11</v>
      </c>
      <c r="G118" s="664">
        <f t="shared" si="1"/>
        <v>0.11</v>
      </c>
      <c r="H118" s="664">
        <f t="shared" si="2"/>
        <v>0.11</v>
      </c>
      <c r="I118" s="664">
        <f t="shared" si="3"/>
        <v>0.11</v>
      </c>
    </row>
    <row r="119" spans="6:9" hidden="1" x14ac:dyDescent="0.35">
      <c r="F119" s="664">
        <v>0.12</v>
      </c>
      <c r="G119" s="664">
        <f t="shared" si="1"/>
        <v>0.12</v>
      </c>
      <c r="H119" s="664">
        <f t="shared" si="2"/>
        <v>0.12</v>
      </c>
      <c r="I119" s="664">
        <f t="shared" si="3"/>
        <v>0.12</v>
      </c>
    </row>
    <row r="120" spans="6:9" hidden="1" x14ac:dyDescent="0.35">
      <c r="F120" s="664">
        <v>0.13</v>
      </c>
      <c r="G120" s="664">
        <f t="shared" si="1"/>
        <v>0.13</v>
      </c>
      <c r="H120" s="664">
        <f t="shared" si="2"/>
        <v>0.13</v>
      </c>
      <c r="I120" s="664">
        <f t="shared" si="3"/>
        <v>0.13</v>
      </c>
    </row>
    <row r="121" spans="6:9" hidden="1" x14ac:dyDescent="0.35">
      <c r="F121" s="664">
        <v>0.14000000000000001</v>
      </c>
      <c r="G121" s="664">
        <f t="shared" si="1"/>
        <v>0.14000000000000001</v>
      </c>
      <c r="H121" s="664">
        <f t="shared" si="2"/>
        <v>0.14000000000000001</v>
      </c>
      <c r="I121" s="664">
        <f t="shared" si="3"/>
        <v>0.14000000000000001</v>
      </c>
    </row>
    <row r="122" spans="6:9" hidden="1" x14ac:dyDescent="0.35">
      <c r="F122" s="664">
        <v>0.15</v>
      </c>
      <c r="G122" s="664">
        <f t="shared" si="1"/>
        <v>0.15</v>
      </c>
      <c r="H122" s="664">
        <f t="shared" si="2"/>
        <v>0.15</v>
      </c>
      <c r="I122" s="664">
        <f t="shared" si="3"/>
        <v>0.15</v>
      </c>
    </row>
    <row r="123" spans="6:9" hidden="1" x14ac:dyDescent="0.35">
      <c r="F123" s="664">
        <v>0.16</v>
      </c>
      <c r="G123" s="664">
        <f t="shared" si="1"/>
        <v>0.16</v>
      </c>
      <c r="H123" s="664">
        <f t="shared" si="2"/>
        <v>0.16</v>
      </c>
      <c r="I123" s="664">
        <f t="shared" si="3"/>
        <v>0.16</v>
      </c>
    </row>
    <row r="124" spans="6:9" hidden="1" x14ac:dyDescent="0.35">
      <c r="F124" s="664">
        <v>0.17</v>
      </c>
      <c r="G124" s="664">
        <f t="shared" si="1"/>
        <v>0.17</v>
      </c>
      <c r="H124" s="664">
        <f t="shared" si="2"/>
        <v>0.17</v>
      </c>
      <c r="I124" s="664">
        <f t="shared" si="3"/>
        <v>0.17</v>
      </c>
    </row>
    <row r="125" spans="6:9" hidden="1" x14ac:dyDescent="0.35">
      <c r="F125" s="664">
        <v>0.18</v>
      </c>
      <c r="G125" s="664">
        <f t="shared" si="1"/>
        <v>0.18</v>
      </c>
      <c r="H125" s="664">
        <f t="shared" si="2"/>
        <v>0.18</v>
      </c>
      <c r="I125" s="664">
        <f t="shared" si="3"/>
        <v>0.18</v>
      </c>
    </row>
    <row r="126" spans="6:9" hidden="1" x14ac:dyDescent="0.35">
      <c r="F126" s="664">
        <v>0.19</v>
      </c>
      <c r="G126" s="664">
        <f t="shared" si="1"/>
        <v>0.19</v>
      </c>
      <c r="H126" s="664">
        <f t="shared" si="2"/>
        <v>0.19</v>
      </c>
      <c r="I126" s="664">
        <f t="shared" si="3"/>
        <v>0.19</v>
      </c>
    </row>
    <row r="127" spans="6:9" hidden="1" x14ac:dyDescent="0.35">
      <c r="F127" s="664">
        <v>0.2</v>
      </c>
      <c r="G127" s="664">
        <f t="shared" si="1"/>
        <v>0.2</v>
      </c>
      <c r="H127" s="664">
        <f t="shared" si="2"/>
        <v>0.2</v>
      </c>
      <c r="I127" s="664">
        <f t="shared" si="3"/>
        <v>0.2</v>
      </c>
    </row>
    <row r="128" spans="6:9" hidden="1" x14ac:dyDescent="0.35">
      <c r="F128" s="664">
        <v>0.21</v>
      </c>
      <c r="G128" s="664">
        <f t="shared" si="1"/>
        <v>0.21</v>
      </c>
      <c r="H128" s="664">
        <f t="shared" si="2"/>
        <v>0.21</v>
      </c>
      <c r="I128" s="664">
        <f t="shared" si="3"/>
        <v>0.21</v>
      </c>
    </row>
    <row r="129" spans="6:9" hidden="1" x14ac:dyDescent="0.35">
      <c r="F129" s="664">
        <v>0.22</v>
      </c>
      <c r="G129" s="664">
        <f t="shared" si="1"/>
        <v>0.22</v>
      </c>
      <c r="H129" s="664">
        <f t="shared" si="2"/>
        <v>0.22</v>
      </c>
      <c r="I129" s="664">
        <f t="shared" si="3"/>
        <v>0.22</v>
      </c>
    </row>
    <row r="130" spans="6:9" hidden="1" x14ac:dyDescent="0.35">
      <c r="F130" s="664">
        <v>0.23</v>
      </c>
      <c r="G130" s="664">
        <f t="shared" si="1"/>
        <v>0.23</v>
      </c>
      <c r="H130" s="664">
        <f t="shared" si="2"/>
        <v>0.23</v>
      </c>
      <c r="I130" s="664">
        <f t="shared" si="3"/>
        <v>0.23</v>
      </c>
    </row>
    <row r="131" spans="6:9" hidden="1" x14ac:dyDescent="0.35">
      <c r="F131" s="664">
        <v>0.24</v>
      </c>
      <c r="G131" s="664">
        <f t="shared" si="1"/>
        <v>0.24</v>
      </c>
      <c r="H131" s="664">
        <f t="shared" si="2"/>
        <v>0.24</v>
      </c>
      <c r="I131" s="664">
        <f t="shared" si="3"/>
        <v>0.24</v>
      </c>
    </row>
    <row r="132" spans="6:9" hidden="1" x14ac:dyDescent="0.35">
      <c r="F132" s="664">
        <v>0.25</v>
      </c>
      <c r="G132" s="664">
        <f t="shared" si="1"/>
        <v>0.25</v>
      </c>
      <c r="H132" s="664">
        <f t="shared" si="2"/>
        <v>0.25</v>
      </c>
      <c r="I132" s="664">
        <f t="shared" si="3"/>
        <v>0.25</v>
      </c>
    </row>
    <row r="133" spans="6:9" hidden="1" x14ac:dyDescent="0.35">
      <c r="F133" s="664">
        <v>0.26</v>
      </c>
      <c r="G133" s="664">
        <f t="shared" si="1"/>
        <v>0.26</v>
      </c>
      <c r="H133" s="664">
        <f t="shared" si="2"/>
        <v>0.26</v>
      </c>
      <c r="I133" s="664">
        <f t="shared" si="3"/>
        <v>0.26</v>
      </c>
    </row>
    <row r="134" spans="6:9" hidden="1" x14ac:dyDescent="0.35">
      <c r="F134" s="664">
        <v>0.27</v>
      </c>
      <c r="G134" s="664">
        <f t="shared" si="1"/>
        <v>0.27</v>
      </c>
      <c r="H134" s="664">
        <f t="shared" si="2"/>
        <v>0.27</v>
      </c>
      <c r="I134" s="664">
        <f t="shared" si="3"/>
        <v>0.27</v>
      </c>
    </row>
    <row r="135" spans="6:9" hidden="1" x14ac:dyDescent="0.35">
      <c r="F135" s="664">
        <v>0.28000000000000003</v>
      </c>
      <c r="G135" s="664">
        <f t="shared" si="1"/>
        <v>0.28000000000000003</v>
      </c>
      <c r="H135" s="664">
        <f t="shared" si="2"/>
        <v>0.28000000000000003</v>
      </c>
      <c r="I135" s="664">
        <f t="shared" si="3"/>
        <v>0.28000000000000003</v>
      </c>
    </row>
    <row r="136" spans="6:9" hidden="1" x14ac:dyDescent="0.35">
      <c r="F136" s="664">
        <v>0.28999999999999998</v>
      </c>
      <c r="G136" s="664">
        <f t="shared" si="1"/>
        <v>0.28999999999999998</v>
      </c>
      <c r="H136" s="664">
        <f t="shared" si="2"/>
        <v>0.28999999999999998</v>
      </c>
      <c r="I136" s="664">
        <f t="shared" si="3"/>
        <v>0.28999999999999998</v>
      </c>
    </row>
    <row r="137" spans="6:9" hidden="1" x14ac:dyDescent="0.35">
      <c r="F137" s="664">
        <v>0.3</v>
      </c>
      <c r="G137" s="664">
        <f t="shared" si="1"/>
        <v>0.3</v>
      </c>
      <c r="H137" s="664">
        <f t="shared" si="2"/>
        <v>0.3</v>
      </c>
      <c r="I137" s="664">
        <f t="shared" si="3"/>
        <v>0.3</v>
      </c>
    </row>
    <row r="138" spans="6:9" hidden="1" x14ac:dyDescent="0.35">
      <c r="F138" s="664">
        <v>0.31</v>
      </c>
      <c r="G138" s="664">
        <f t="shared" si="1"/>
        <v>0.31</v>
      </c>
      <c r="H138" s="664">
        <f t="shared" si="2"/>
        <v>0.31</v>
      </c>
      <c r="I138" s="664">
        <f t="shared" si="3"/>
        <v>0.31</v>
      </c>
    </row>
    <row r="139" spans="6:9" hidden="1" x14ac:dyDescent="0.35">
      <c r="F139" s="664">
        <v>0.32</v>
      </c>
      <c r="G139" s="664">
        <f t="shared" si="1"/>
        <v>0.32</v>
      </c>
      <c r="H139" s="664">
        <f t="shared" si="2"/>
        <v>0.32</v>
      </c>
      <c r="I139" s="664">
        <f t="shared" si="3"/>
        <v>0.32</v>
      </c>
    </row>
    <row r="140" spans="6:9" hidden="1" x14ac:dyDescent="0.35">
      <c r="F140" s="664">
        <v>0.33</v>
      </c>
      <c r="G140" s="664">
        <f t="shared" si="1"/>
        <v>0.33</v>
      </c>
      <c r="H140" s="664">
        <f t="shared" si="2"/>
        <v>0.33</v>
      </c>
      <c r="I140" s="664">
        <f t="shared" si="3"/>
        <v>0.33</v>
      </c>
    </row>
    <row r="141" spans="6:9" hidden="1" x14ac:dyDescent="0.35">
      <c r="F141" s="664">
        <v>0.34</v>
      </c>
      <c r="G141" s="664">
        <f t="shared" si="1"/>
        <v>0.34</v>
      </c>
      <c r="H141" s="664">
        <f t="shared" si="2"/>
        <v>0.34</v>
      </c>
      <c r="I141" s="664">
        <f t="shared" si="3"/>
        <v>0.34</v>
      </c>
    </row>
    <row r="142" spans="6:9" hidden="1" x14ac:dyDescent="0.35">
      <c r="F142" s="664">
        <v>0.35</v>
      </c>
      <c r="G142" s="664">
        <f t="shared" si="1"/>
        <v>0.35</v>
      </c>
      <c r="H142" s="664">
        <f t="shared" si="2"/>
        <v>0.35</v>
      </c>
      <c r="I142" s="664">
        <f t="shared" si="3"/>
        <v>0.35</v>
      </c>
    </row>
    <row r="143" spans="6:9" hidden="1" x14ac:dyDescent="0.35">
      <c r="F143" s="664">
        <v>0.36</v>
      </c>
      <c r="G143" s="664">
        <f t="shared" si="1"/>
        <v>0.36</v>
      </c>
      <c r="H143" s="664">
        <f t="shared" si="2"/>
        <v>0.36</v>
      </c>
      <c r="I143" s="664">
        <f t="shared" si="3"/>
        <v>0.36</v>
      </c>
    </row>
    <row r="144" spans="6:9" hidden="1" x14ac:dyDescent="0.35">
      <c r="F144" s="664">
        <v>0.37</v>
      </c>
      <c r="G144" s="664">
        <f t="shared" si="1"/>
        <v>0.37</v>
      </c>
      <c r="H144" s="664">
        <f t="shared" si="2"/>
        <v>0.37</v>
      </c>
      <c r="I144" s="664">
        <f t="shared" si="3"/>
        <v>0.37</v>
      </c>
    </row>
    <row r="145" spans="6:9" hidden="1" x14ac:dyDescent="0.35">
      <c r="F145" s="664">
        <v>0.38</v>
      </c>
      <c r="G145" s="664">
        <f t="shared" si="1"/>
        <v>0.38</v>
      </c>
      <c r="H145" s="664">
        <f t="shared" si="2"/>
        <v>0.38</v>
      </c>
      <c r="I145" s="664">
        <f t="shared" si="3"/>
        <v>0.38</v>
      </c>
    </row>
    <row r="146" spans="6:9" hidden="1" x14ac:dyDescent="0.35">
      <c r="F146" s="664">
        <v>0.39</v>
      </c>
      <c r="G146" s="664">
        <f t="shared" si="1"/>
        <v>0.39</v>
      </c>
      <c r="H146" s="664">
        <f t="shared" si="2"/>
        <v>0.39</v>
      </c>
      <c r="I146" s="664">
        <f t="shared" si="3"/>
        <v>0.39</v>
      </c>
    </row>
    <row r="147" spans="6:9" hidden="1" x14ac:dyDescent="0.35">
      <c r="F147" s="664">
        <v>0.4</v>
      </c>
      <c r="G147" s="664">
        <f t="shared" si="1"/>
        <v>0.4</v>
      </c>
      <c r="H147" s="664">
        <f t="shared" si="2"/>
        <v>0.4</v>
      </c>
      <c r="I147" s="664">
        <f t="shared" si="3"/>
        <v>0.4</v>
      </c>
    </row>
    <row r="148" spans="6:9" hidden="1" x14ac:dyDescent="0.35">
      <c r="F148" s="664">
        <v>0.41</v>
      </c>
      <c r="G148" s="664">
        <f t="shared" si="1"/>
        <v>0.41</v>
      </c>
      <c r="H148" s="664">
        <f t="shared" si="2"/>
        <v>0.41</v>
      </c>
      <c r="I148" s="664">
        <f t="shared" si="3"/>
        <v>0.41</v>
      </c>
    </row>
    <row r="149" spans="6:9" hidden="1" x14ac:dyDescent="0.35">
      <c r="F149" s="664">
        <v>0.42</v>
      </c>
      <c r="G149" s="664">
        <f t="shared" si="1"/>
        <v>0.42</v>
      </c>
      <c r="H149" s="664">
        <f t="shared" si="2"/>
        <v>0.42</v>
      </c>
      <c r="I149" s="664">
        <f t="shared" si="3"/>
        <v>0.42</v>
      </c>
    </row>
    <row r="150" spans="6:9" hidden="1" x14ac:dyDescent="0.35">
      <c r="F150" s="664">
        <v>0.43</v>
      </c>
      <c r="G150" s="664">
        <f t="shared" si="1"/>
        <v>0.43</v>
      </c>
      <c r="H150" s="664">
        <f t="shared" si="2"/>
        <v>0.43</v>
      </c>
      <c r="I150" s="664">
        <f t="shared" si="3"/>
        <v>0.43</v>
      </c>
    </row>
    <row r="151" spans="6:9" hidden="1" x14ac:dyDescent="0.35">
      <c r="F151" s="664">
        <v>0.44</v>
      </c>
      <c r="G151" s="664">
        <f t="shared" si="1"/>
        <v>0.44</v>
      </c>
      <c r="H151" s="664">
        <f t="shared" si="2"/>
        <v>0.44</v>
      </c>
      <c r="I151" s="664">
        <f t="shared" si="3"/>
        <v>0.44</v>
      </c>
    </row>
    <row r="152" spans="6:9" hidden="1" x14ac:dyDescent="0.35">
      <c r="F152" s="664">
        <v>0.45</v>
      </c>
      <c r="G152" s="664">
        <f t="shared" si="1"/>
        <v>0.45</v>
      </c>
      <c r="H152" s="664">
        <f t="shared" si="2"/>
        <v>0.45</v>
      </c>
      <c r="I152" s="664">
        <f t="shared" si="3"/>
        <v>0.45</v>
      </c>
    </row>
    <row r="153" spans="6:9" hidden="1" x14ac:dyDescent="0.35">
      <c r="F153" s="664">
        <v>0.46</v>
      </c>
      <c r="G153" s="664">
        <f t="shared" si="1"/>
        <v>0.46</v>
      </c>
      <c r="H153" s="664">
        <f t="shared" si="2"/>
        <v>0.46</v>
      </c>
      <c r="I153" s="664">
        <f t="shared" si="3"/>
        <v>0.46</v>
      </c>
    </row>
    <row r="154" spans="6:9" hidden="1" x14ac:dyDescent="0.35">
      <c r="F154" s="664">
        <v>0.47</v>
      </c>
      <c r="G154" s="664">
        <f t="shared" si="1"/>
        <v>0.47</v>
      </c>
      <c r="H154" s="664">
        <f t="shared" si="2"/>
        <v>0.47</v>
      </c>
      <c r="I154" s="664">
        <f t="shared" si="3"/>
        <v>0.47</v>
      </c>
    </row>
    <row r="155" spans="6:9" hidden="1" x14ac:dyDescent="0.35">
      <c r="F155" s="664">
        <v>0.48</v>
      </c>
      <c r="G155" s="664">
        <f t="shared" si="1"/>
        <v>0.48</v>
      </c>
      <c r="H155" s="664">
        <f t="shared" si="2"/>
        <v>0.48</v>
      </c>
      <c r="I155" s="664">
        <f t="shared" si="3"/>
        <v>0.48</v>
      </c>
    </row>
    <row r="156" spans="6:9" hidden="1" x14ac:dyDescent="0.35">
      <c r="F156" s="664">
        <v>0.49</v>
      </c>
      <c r="G156" s="664">
        <f t="shared" si="1"/>
        <v>0.49</v>
      </c>
      <c r="H156" s="664">
        <f t="shared" si="2"/>
        <v>0.49</v>
      </c>
      <c r="I156" s="664">
        <f t="shared" si="3"/>
        <v>0.49</v>
      </c>
    </row>
    <row r="157" spans="6:9" hidden="1" x14ac:dyDescent="0.35">
      <c r="F157" s="664">
        <v>0.5</v>
      </c>
      <c r="G157" s="664">
        <f t="shared" si="1"/>
        <v>0.5</v>
      </c>
      <c r="H157" s="664">
        <f t="shared" si="2"/>
        <v>0.5</v>
      </c>
      <c r="I157" s="664">
        <f t="shared" si="3"/>
        <v>0.5</v>
      </c>
    </row>
    <row r="158" spans="6:9" hidden="1" x14ac:dyDescent="0.35">
      <c r="F158" s="664">
        <v>0.51</v>
      </c>
      <c r="G158" s="664">
        <f t="shared" si="1"/>
        <v>0.51</v>
      </c>
      <c r="H158" s="664">
        <f t="shared" si="2"/>
        <v>0.51</v>
      </c>
      <c r="I158" s="664">
        <f t="shared" si="3"/>
        <v>0.51</v>
      </c>
    </row>
    <row r="159" spans="6:9" hidden="1" x14ac:dyDescent="0.35">
      <c r="F159" s="664">
        <v>0.52</v>
      </c>
      <c r="G159" s="664">
        <f t="shared" si="1"/>
        <v>0.52</v>
      </c>
      <c r="H159" s="664">
        <f t="shared" si="2"/>
        <v>0.52</v>
      </c>
      <c r="I159" s="664">
        <f t="shared" si="3"/>
        <v>0.52</v>
      </c>
    </row>
    <row r="160" spans="6:9" hidden="1" x14ac:dyDescent="0.35">
      <c r="F160" s="664">
        <v>0.53</v>
      </c>
      <c r="G160" s="664">
        <f t="shared" si="1"/>
        <v>0.53</v>
      </c>
      <c r="H160" s="664">
        <f t="shared" si="2"/>
        <v>0.53</v>
      </c>
      <c r="I160" s="664">
        <f t="shared" si="3"/>
        <v>0.53</v>
      </c>
    </row>
    <row r="161" spans="6:9" hidden="1" x14ac:dyDescent="0.35">
      <c r="F161" s="664">
        <v>0.54</v>
      </c>
      <c r="G161" s="664">
        <f t="shared" si="1"/>
        <v>0.54</v>
      </c>
      <c r="H161" s="664">
        <f t="shared" si="2"/>
        <v>0.54</v>
      </c>
      <c r="I161" s="664">
        <f t="shared" si="3"/>
        <v>0.54</v>
      </c>
    </row>
    <row r="162" spans="6:9" hidden="1" x14ac:dyDescent="0.35">
      <c r="F162" s="664">
        <v>0.55000000000000004</v>
      </c>
      <c r="G162" s="664">
        <f t="shared" si="1"/>
        <v>0.55000000000000004</v>
      </c>
      <c r="H162" s="664">
        <f t="shared" si="2"/>
        <v>0.55000000000000004</v>
      </c>
      <c r="I162" s="664">
        <f t="shared" si="3"/>
        <v>0.55000000000000004</v>
      </c>
    </row>
    <row r="163" spans="6:9" hidden="1" x14ac:dyDescent="0.35">
      <c r="F163" s="664">
        <v>0.56000000000000005</v>
      </c>
      <c r="G163" s="664">
        <f t="shared" si="1"/>
        <v>0.56000000000000005</v>
      </c>
      <c r="H163" s="664">
        <f t="shared" si="2"/>
        <v>0.56000000000000005</v>
      </c>
      <c r="I163" s="664">
        <f t="shared" si="3"/>
        <v>0.56000000000000005</v>
      </c>
    </row>
    <row r="164" spans="6:9" hidden="1" x14ac:dyDescent="0.35">
      <c r="F164" s="664">
        <v>0.56999999999999995</v>
      </c>
      <c r="G164" s="664">
        <f t="shared" si="1"/>
        <v>0.56999999999999995</v>
      </c>
      <c r="H164" s="664">
        <f t="shared" si="2"/>
        <v>0.56999999999999995</v>
      </c>
      <c r="I164" s="664">
        <f t="shared" si="3"/>
        <v>0.56999999999999995</v>
      </c>
    </row>
    <row r="165" spans="6:9" hidden="1" x14ac:dyDescent="0.35">
      <c r="F165" s="664">
        <v>0.57999999999999996</v>
      </c>
      <c r="G165" s="664">
        <f t="shared" si="1"/>
        <v>0.57999999999999996</v>
      </c>
      <c r="H165" s="664">
        <f t="shared" si="2"/>
        <v>0.57999999999999996</v>
      </c>
      <c r="I165" s="664">
        <f t="shared" si="3"/>
        <v>0.57999999999999996</v>
      </c>
    </row>
    <row r="166" spans="6:9" hidden="1" x14ac:dyDescent="0.35">
      <c r="F166" s="664">
        <v>0.59</v>
      </c>
      <c r="G166" s="664">
        <f t="shared" si="1"/>
        <v>0.59</v>
      </c>
      <c r="H166" s="664">
        <f t="shared" si="2"/>
        <v>0.59</v>
      </c>
      <c r="I166" s="664">
        <f t="shared" si="3"/>
        <v>0.59</v>
      </c>
    </row>
    <row r="167" spans="6:9" hidden="1" x14ac:dyDescent="0.35">
      <c r="F167" s="664">
        <v>0.6</v>
      </c>
      <c r="G167" s="664">
        <f t="shared" si="1"/>
        <v>0.6</v>
      </c>
      <c r="H167" s="664">
        <f t="shared" si="2"/>
        <v>0.6</v>
      </c>
      <c r="I167" s="664">
        <f t="shared" si="3"/>
        <v>0.6</v>
      </c>
    </row>
    <row r="168" spans="6:9" hidden="1" x14ac:dyDescent="0.35">
      <c r="F168" s="664">
        <v>0.61</v>
      </c>
      <c r="G168" s="664">
        <f t="shared" si="1"/>
        <v>0.61</v>
      </c>
      <c r="H168" s="664">
        <f t="shared" si="2"/>
        <v>0.61</v>
      </c>
      <c r="I168" s="664">
        <f t="shared" si="3"/>
        <v>0.61</v>
      </c>
    </row>
    <row r="169" spans="6:9" hidden="1" x14ac:dyDescent="0.35">
      <c r="F169" s="664">
        <v>0.62</v>
      </c>
      <c r="G169" s="664">
        <f t="shared" si="1"/>
        <v>0.62</v>
      </c>
      <c r="H169" s="664">
        <f t="shared" si="2"/>
        <v>0.62</v>
      </c>
      <c r="I169" s="664">
        <f t="shared" si="3"/>
        <v>0.62</v>
      </c>
    </row>
    <row r="170" spans="6:9" hidden="1" x14ac:dyDescent="0.35">
      <c r="F170" s="664">
        <v>0.63</v>
      </c>
      <c r="G170" s="664">
        <f t="shared" si="1"/>
        <v>0.63</v>
      </c>
      <c r="H170" s="664">
        <f t="shared" si="2"/>
        <v>0.63</v>
      </c>
      <c r="I170" s="664">
        <f t="shared" si="3"/>
        <v>0.63</v>
      </c>
    </row>
    <row r="171" spans="6:9" hidden="1" x14ac:dyDescent="0.35">
      <c r="F171" s="664">
        <v>0.64</v>
      </c>
      <c r="G171" s="664">
        <f t="shared" si="1"/>
        <v>0.64</v>
      </c>
      <c r="H171" s="664">
        <f t="shared" si="2"/>
        <v>0.64</v>
      </c>
      <c r="I171" s="664">
        <f t="shared" si="3"/>
        <v>0.64</v>
      </c>
    </row>
    <row r="172" spans="6:9" hidden="1" x14ac:dyDescent="0.35">
      <c r="F172" s="664">
        <v>0.65</v>
      </c>
      <c r="G172" s="664">
        <f t="shared" ref="G172:G207" si="4">IF(F172&gt;(1-$F$105),0,F172)</f>
        <v>0.65</v>
      </c>
      <c r="H172" s="664">
        <f t="shared" ref="H172:H207" si="5">IF(G172&gt;(1-$F$105-$G$105),0,G172)</f>
        <v>0.65</v>
      </c>
      <c r="I172" s="664">
        <f t="shared" ref="I172:I207" si="6">IF(H172&gt;(1-$F$105-$G$105-$H$105),0,H172)</f>
        <v>0.65</v>
      </c>
    </row>
    <row r="173" spans="6:9" hidden="1" x14ac:dyDescent="0.35">
      <c r="F173" s="664">
        <v>0.66</v>
      </c>
      <c r="G173" s="664">
        <f t="shared" si="4"/>
        <v>0.66</v>
      </c>
      <c r="H173" s="664">
        <f t="shared" si="5"/>
        <v>0.66</v>
      </c>
      <c r="I173" s="664">
        <f t="shared" si="6"/>
        <v>0.66</v>
      </c>
    </row>
    <row r="174" spans="6:9" hidden="1" x14ac:dyDescent="0.35">
      <c r="F174" s="664">
        <v>0.67</v>
      </c>
      <c r="G174" s="664">
        <f t="shared" si="4"/>
        <v>0.67</v>
      </c>
      <c r="H174" s="664">
        <f t="shared" si="5"/>
        <v>0.67</v>
      </c>
      <c r="I174" s="664">
        <f t="shared" si="6"/>
        <v>0.67</v>
      </c>
    </row>
    <row r="175" spans="6:9" hidden="1" x14ac:dyDescent="0.35">
      <c r="F175" s="664">
        <v>0.68</v>
      </c>
      <c r="G175" s="664">
        <f t="shared" si="4"/>
        <v>0.68</v>
      </c>
      <c r="H175" s="664">
        <f t="shared" si="5"/>
        <v>0.68</v>
      </c>
      <c r="I175" s="664">
        <f t="shared" si="6"/>
        <v>0.68</v>
      </c>
    </row>
    <row r="176" spans="6:9" hidden="1" x14ac:dyDescent="0.35">
      <c r="F176" s="664">
        <v>0.69</v>
      </c>
      <c r="G176" s="664">
        <f t="shared" si="4"/>
        <v>0.69</v>
      </c>
      <c r="H176" s="664">
        <f t="shared" si="5"/>
        <v>0.69</v>
      </c>
      <c r="I176" s="664">
        <f t="shared" si="6"/>
        <v>0.69</v>
      </c>
    </row>
    <row r="177" spans="6:9" hidden="1" x14ac:dyDescent="0.35">
      <c r="F177" s="664">
        <v>0.7</v>
      </c>
      <c r="G177" s="664">
        <f t="shared" si="4"/>
        <v>0.7</v>
      </c>
      <c r="H177" s="664">
        <f t="shared" si="5"/>
        <v>0.7</v>
      </c>
      <c r="I177" s="664">
        <f t="shared" si="6"/>
        <v>0.7</v>
      </c>
    </row>
    <row r="178" spans="6:9" hidden="1" x14ac:dyDescent="0.35">
      <c r="F178" s="664">
        <v>0.71</v>
      </c>
      <c r="G178" s="664">
        <f t="shared" si="4"/>
        <v>0.71</v>
      </c>
      <c r="H178" s="664">
        <f t="shared" si="5"/>
        <v>0.71</v>
      </c>
      <c r="I178" s="664">
        <f t="shared" si="6"/>
        <v>0.71</v>
      </c>
    </row>
    <row r="179" spans="6:9" hidden="1" x14ac:dyDescent="0.35">
      <c r="F179" s="664">
        <v>0.72</v>
      </c>
      <c r="G179" s="664">
        <f t="shared" si="4"/>
        <v>0.72</v>
      </c>
      <c r="H179" s="664">
        <f t="shared" si="5"/>
        <v>0.72</v>
      </c>
      <c r="I179" s="664">
        <f t="shared" si="6"/>
        <v>0.72</v>
      </c>
    </row>
    <row r="180" spans="6:9" hidden="1" x14ac:dyDescent="0.35">
      <c r="F180" s="664">
        <v>0.73</v>
      </c>
      <c r="G180" s="664">
        <f t="shared" si="4"/>
        <v>0.73</v>
      </c>
      <c r="H180" s="664">
        <f t="shared" si="5"/>
        <v>0.73</v>
      </c>
      <c r="I180" s="664">
        <f t="shared" si="6"/>
        <v>0.73</v>
      </c>
    </row>
    <row r="181" spans="6:9" hidden="1" x14ac:dyDescent="0.35">
      <c r="F181" s="664">
        <v>0.74</v>
      </c>
      <c r="G181" s="664">
        <f t="shared" si="4"/>
        <v>0.74</v>
      </c>
      <c r="H181" s="664">
        <f t="shared" si="5"/>
        <v>0.74</v>
      </c>
      <c r="I181" s="664">
        <f t="shared" si="6"/>
        <v>0.74</v>
      </c>
    </row>
    <row r="182" spans="6:9" hidden="1" x14ac:dyDescent="0.35">
      <c r="F182" s="664">
        <v>0.75</v>
      </c>
      <c r="G182" s="664">
        <f t="shared" si="4"/>
        <v>0.75</v>
      </c>
      <c r="H182" s="664">
        <f t="shared" si="5"/>
        <v>0.75</v>
      </c>
      <c r="I182" s="664">
        <f t="shared" si="6"/>
        <v>0.75</v>
      </c>
    </row>
    <row r="183" spans="6:9" hidden="1" x14ac:dyDescent="0.35">
      <c r="F183" s="664">
        <v>0.76</v>
      </c>
      <c r="G183" s="664">
        <f t="shared" si="4"/>
        <v>0.76</v>
      </c>
      <c r="H183" s="664">
        <f t="shared" si="5"/>
        <v>0.76</v>
      </c>
      <c r="I183" s="664">
        <f t="shared" si="6"/>
        <v>0.76</v>
      </c>
    </row>
    <row r="184" spans="6:9" hidden="1" x14ac:dyDescent="0.35">
      <c r="F184" s="664">
        <v>0.77</v>
      </c>
      <c r="G184" s="664">
        <f t="shared" si="4"/>
        <v>0.77</v>
      </c>
      <c r="H184" s="664">
        <f t="shared" si="5"/>
        <v>0.77</v>
      </c>
      <c r="I184" s="664">
        <f t="shared" si="6"/>
        <v>0.77</v>
      </c>
    </row>
    <row r="185" spans="6:9" hidden="1" x14ac:dyDescent="0.35">
      <c r="F185" s="664">
        <v>0.78</v>
      </c>
      <c r="G185" s="664">
        <f t="shared" si="4"/>
        <v>0.78</v>
      </c>
      <c r="H185" s="664">
        <f t="shared" si="5"/>
        <v>0.78</v>
      </c>
      <c r="I185" s="664">
        <f t="shared" si="6"/>
        <v>0.78</v>
      </c>
    </row>
    <row r="186" spans="6:9" hidden="1" x14ac:dyDescent="0.35">
      <c r="F186" s="664">
        <v>0.79</v>
      </c>
      <c r="G186" s="664">
        <f t="shared" si="4"/>
        <v>0.79</v>
      </c>
      <c r="H186" s="664">
        <f t="shared" si="5"/>
        <v>0.79</v>
      </c>
      <c r="I186" s="664">
        <f t="shared" si="6"/>
        <v>0.79</v>
      </c>
    </row>
    <row r="187" spans="6:9" hidden="1" x14ac:dyDescent="0.35">
      <c r="F187" s="664">
        <v>0.8</v>
      </c>
      <c r="G187" s="664">
        <f t="shared" si="4"/>
        <v>0.8</v>
      </c>
      <c r="H187" s="664">
        <f t="shared" si="5"/>
        <v>0.8</v>
      </c>
      <c r="I187" s="664">
        <f t="shared" si="6"/>
        <v>0.8</v>
      </c>
    </row>
    <row r="188" spans="6:9" hidden="1" x14ac:dyDescent="0.35">
      <c r="F188" s="664">
        <v>0.81</v>
      </c>
      <c r="G188" s="664">
        <f t="shared" si="4"/>
        <v>0.81</v>
      </c>
      <c r="H188" s="664">
        <f t="shared" si="5"/>
        <v>0.81</v>
      </c>
      <c r="I188" s="664">
        <f t="shared" si="6"/>
        <v>0.81</v>
      </c>
    </row>
    <row r="189" spans="6:9" hidden="1" x14ac:dyDescent="0.35">
      <c r="F189" s="664">
        <v>0.82</v>
      </c>
      <c r="G189" s="664">
        <f t="shared" si="4"/>
        <v>0.82</v>
      </c>
      <c r="H189" s="664">
        <f t="shared" si="5"/>
        <v>0.82</v>
      </c>
      <c r="I189" s="664">
        <f t="shared" si="6"/>
        <v>0.82</v>
      </c>
    </row>
    <row r="190" spans="6:9" hidden="1" x14ac:dyDescent="0.35">
      <c r="F190" s="664">
        <v>0.83</v>
      </c>
      <c r="G190" s="664">
        <f t="shared" si="4"/>
        <v>0.83</v>
      </c>
      <c r="H190" s="664">
        <f t="shared" si="5"/>
        <v>0.83</v>
      </c>
      <c r="I190" s="664">
        <f t="shared" si="6"/>
        <v>0.83</v>
      </c>
    </row>
    <row r="191" spans="6:9" hidden="1" x14ac:dyDescent="0.35">
      <c r="F191" s="664">
        <v>0.84</v>
      </c>
      <c r="G191" s="664">
        <f t="shared" si="4"/>
        <v>0.84</v>
      </c>
      <c r="H191" s="664">
        <f t="shared" si="5"/>
        <v>0.84</v>
      </c>
      <c r="I191" s="664">
        <f t="shared" si="6"/>
        <v>0.84</v>
      </c>
    </row>
    <row r="192" spans="6:9" hidden="1" x14ac:dyDescent="0.35">
      <c r="F192" s="664">
        <v>0.85</v>
      </c>
      <c r="G192" s="664">
        <f t="shared" si="4"/>
        <v>0.85</v>
      </c>
      <c r="H192" s="664">
        <f t="shared" si="5"/>
        <v>0.85</v>
      </c>
      <c r="I192" s="664">
        <f t="shared" si="6"/>
        <v>0.85</v>
      </c>
    </row>
    <row r="193" spans="6:9" hidden="1" x14ac:dyDescent="0.35">
      <c r="F193" s="664">
        <v>0.86</v>
      </c>
      <c r="G193" s="664">
        <f t="shared" si="4"/>
        <v>0.86</v>
      </c>
      <c r="H193" s="664">
        <f t="shared" si="5"/>
        <v>0.86</v>
      </c>
      <c r="I193" s="664">
        <f t="shared" si="6"/>
        <v>0.86</v>
      </c>
    </row>
    <row r="194" spans="6:9" hidden="1" x14ac:dyDescent="0.35">
      <c r="F194" s="664">
        <v>0.87</v>
      </c>
      <c r="G194" s="664">
        <f t="shared" si="4"/>
        <v>0.87</v>
      </c>
      <c r="H194" s="664">
        <f t="shared" si="5"/>
        <v>0.87</v>
      </c>
      <c r="I194" s="664">
        <f t="shared" si="6"/>
        <v>0.87</v>
      </c>
    </row>
    <row r="195" spans="6:9" hidden="1" x14ac:dyDescent="0.35">
      <c r="F195" s="664">
        <v>0.88</v>
      </c>
      <c r="G195" s="664">
        <f t="shared" si="4"/>
        <v>0.88</v>
      </c>
      <c r="H195" s="664">
        <f t="shared" si="5"/>
        <v>0.88</v>
      </c>
      <c r="I195" s="664">
        <f t="shared" si="6"/>
        <v>0.88</v>
      </c>
    </row>
    <row r="196" spans="6:9" hidden="1" x14ac:dyDescent="0.35">
      <c r="F196" s="664">
        <v>0.89</v>
      </c>
      <c r="G196" s="664">
        <f t="shared" si="4"/>
        <v>0.89</v>
      </c>
      <c r="H196" s="664">
        <f t="shared" si="5"/>
        <v>0.89</v>
      </c>
      <c r="I196" s="664">
        <f t="shared" si="6"/>
        <v>0.89</v>
      </c>
    </row>
    <row r="197" spans="6:9" hidden="1" x14ac:dyDescent="0.35">
      <c r="F197" s="664">
        <v>0.9</v>
      </c>
      <c r="G197" s="664">
        <f t="shared" si="4"/>
        <v>0.9</v>
      </c>
      <c r="H197" s="664">
        <f t="shared" si="5"/>
        <v>0.9</v>
      </c>
      <c r="I197" s="664">
        <f t="shared" si="6"/>
        <v>0.9</v>
      </c>
    </row>
    <row r="198" spans="6:9" hidden="1" x14ac:dyDescent="0.35">
      <c r="F198" s="664">
        <v>0.91</v>
      </c>
      <c r="G198" s="664">
        <f t="shared" si="4"/>
        <v>0.91</v>
      </c>
      <c r="H198" s="664">
        <f t="shared" si="5"/>
        <v>0.91</v>
      </c>
      <c r="I198" s="664">
        <f t="shared" si="6"/>
        <v>0.91</v>
      </c>
    </row>
    <row r="199" spans="6:9" hidden="1" x14ac:dyDescent="0.35">
      <c r="F199" s="664">
        <v>0.92</v>
      </c>
      <c r="G199" s="664">
        <f t="shared" si="4"/>
        <v>0.92</v>
      </c>
      <c r="H199" s="664">
        <f t="shared" si="5"/>
        <v>0.92</v>
      </c>
      <c r="I199" s="664">
        <f t="shared" si="6"/>
        <v>0.92</v>
      </c>
    </row>
    <row r="200" spans="6:9" hidden="1" x14ac:dyDescent="0.35">
      <c r="F200" s="664">
        <v>0.93</v>
      </c>
      <c r="G200" s="664">
        <f t="shared" si="4"/>
        <v>0.93</v>
      </c>
      <c r="H200" s="664">
        <f t="shared" si="5"/>
        <v>0.93</v>
      </c>
      <c r="I200" s="664">
        <f t="shared" si="6"/>
        <v>0.93</v>
      </c>
    </row>
    <row r="201" spans="6:9" hidden="1" x14ac:dyDescent="0.35">
      <c r="F201" s="664">
        <v>0.94</v>
      </c>
      <c r="G201" s="664">
        <f t="shared" si="4"/>
        <v>0.94</v>
      </c>
      <c r="H201" s="664">
        <f t="shared" si="5"/>
        <v>0.94</v>
      </c>
      <c r="I201" s="664">
        <f t="shared" si="6"/>
        <v>0.94</v>
      </c>
    </row>
    <row r="202" spans="6:9" hidden="1" x14ac:dyDescent="0.35">
      <c r="F202" s="664">
        <v>0.95</v>
      </c>
      <c r="G202" s="664">
        <f t="shared" si="4"/>
        <v>0.95</v>
      </c>
      <c r="H202" s="664">
        <f t="shared" si="5"/>
        <v>0.95</v>
      </c>
      <c r="I202" s="664">
        <f t="shared" si="6"/>
        <v>0.95</v>
      </c>
    </row>
    <row r="203" spans="6:9" hidden="1" x14ac:dyDescent="0.35">
      <c r="F203" s="664">
        <v>0.96</v>
      </c>
      <c r="G203" s="664">
        <f t="shared" si="4"/>
        <v>0.96</v>
      </c>
      <c r="H203" s="664">
        <f t="shared" si="5"/>
        <v>0.96</v>
      </c>
      <c r="I203" s="664">
        <f t="shared" si="6"/>
        <v>0.96</v>
      </c>
    </row>
    <row r="204" spans="6:9" hidden="1" x14ac:dyDescent="0.35">
      <c r="F204" s="664">
        <v>0.97</v>
      </c>
      <c r="G204" s="664">
        <f t="shared" si="4"/>
        <v>0.97</v>
      </c>
      <c r="H204" s="664">
        <f t="shared" si="5"/>
        <v>0.97</v>
      </c>
      <c r="I204" s="664">
        <f t="shared" si="6"/>
        <v>0.97</v>
      </c>
    </row>
    <row r="205" spans="6:9" hidden="1" x14ac:dyDescent="0.35">
      <c r="F205" s="664">
        <v>0.98</v>
      </c>
      <c r="G205" s="664">
        <f t="shared" si="4"/>
        <v>0.98</v>
      </c>
      <c r="H205" s="664">
        <f t="shared" si="5"/>
        <v>0.98</v>
      </c>
      <c r="I205" s="664">
        <f t="shared" si="6"/>
        <v>0.98</v>
      </c>
    </row>
    <row r="206" spans="6:9" hidden="1" x14ac:dyDescent="0.35">
      <c r="F206" s="664">
        <v>0.99</v>
      </c>
      <c r="G206" s="664">
        <f t="shared" si="4"/>
        <v>0.99</v>
      </c>
      <c r="H206" s="664">
        <f t="shared" si="5"/>
        <v>0.99</v>
      </c>
      <c r="I206" s="664">
        <f t="shared" si="6"/>
        <v>0.99</v>
      </c>
    </row>
    <row r="207" spans="6:9" hidden="1" x14ac:dyDescent="0.35">
      <c r="F207" s="664">
        <v>1</v>
      </c>
      <c r="G207" s="664">
        <f t="shared" si="4"/>
        <v>1</v>
      </c>
      <c r="H207" s="664">
        <f t="shared" si="5"/>
        <v>1</v>
      </c>
      <c r="I207" s="664">
        <f t="shared" si="6"/>
        <v>1</v>
      </c>
    </row>
    <row r="208" spans="6:9" hidden="1" x14ac:dyDescent="0.35"/>
    <row r="209" hidden="1" x14ac:dyDescent="0.35"/>
  </sheetData>
  <sheetProtection algorithmName="SHA-512" hashValue="vKKjj4r1V3d7pZJemfQ+YiTOPvOnXVVJLNe7nUeRRlzAito5JwWuUjPhLWxTRZqHxmYg2tBhIcFJjXe4mxNyGg==" saltValue="hs5j5CKlF/S3+q1E8bjfWg==" spinCount="100000" sheet="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164C-7587-40FC-8F8A-2BDD320B0939}">
  <sheetPr codeName="Ark2">
    <tabColor theme="4" tint="0.59999389629810485"/>
  </sheetPr>
  <dimension ref="A2:CR374"/>
  <sheetViews>
    <sheetView topLeftCell="A9" zoomScaleNormal="100" workbookViewId="0">
      <selection activeCell="B29" sqref="B29:H29"/>
    </sheetView>
  </sheetViews>
  <sheetFormatPr defaultColWidth="9.453125" defaultRowHeight="14.5" x14ac:dyDescent="0.35"/>
  <cols>
    <col min="1" max="1" width="6.453125" style="14" customWidth="1"/>
    <col min="2" max="2" width="38" style="14" customWidth="1"/>
    <col min="3" max="3" width="52.54296875" style="14" customWidth="1"/>
    <col min="4" max="4" width="17.453125" style="14" customWidth="1"/>
    <col min="5" max="5" width="22.54296875" style="14" customWidth="1"/>
    <col min="6" max="6" width="24.54296875" style="14" customWidth="1"/>
    <col min="7" max="7" width="17.54296875" style="14" customWidth="1"/>
    <col min="8" max="8" width="20.453125" style="14" customWidth="1"/>
    <col min="9" max="9" width="20.54296875" style="14" customWidth="1"/>
    <col min="10" max="10" width="22.7265625" style="14" bestFit="1" customWidth="1"/>
    <col min="11" max="11" width="9.453125" style="14"/>
    <col min="12" max="12" width="18.7265625" style="14" bestFit="1" customWidth="1"/>
    <col min="13" max="13" width="9.453125" style="14"/>
    <col min="14" max="14" width="10.81640625" style="14" customWidth="1"/>
    <col min="15" max="16384" width="9.453125" style="14"/>
  </cols>
  <sheetData>
    <row r="2" spans="1:96" customFormat="1" ht="33.5" x14ac:dyDescent="0.75">
      <c r="A2" s="14"/>
      <c r="B2" s="7" t="s">
        <v>476</v>
      </c>
      <c r="C2" s="8"/>
      <c r="D2" s="8"/>
      <c r="E2" s="8"/>
      <c r="F2" s="8"/>
      <c r="G2" s="8"/>
      <c r="H2" s="8"/>
      <c r="I2" s="13"/>
      <c r="J2" s="13"/>
      <c r="K2" s="13"/>
      <c r="L2" s="13"/>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row>
    <row r="3" spans="1:96" ht="77.150000000000006" customHeight="1" x14ac:dyDescent="0.35">
      <c r="B3" s="109" t="s">
        <v>477</v>
      </c>
      <c r="C3" s="13"/>
      <c r="D3" s="13"/>
      <c r="E3" s="13"/>
      <c r="F3" s="13"/>
      <c r="G3" s="13"/>
      <c r="H3" s="13"/>
      <c r="I3" s="13"/>
      <c r="J3" s="13"/>
      <c r="K3" s="13"/>
      <c r="L3" s="13"/>
    </row>
    <row r="4" spans="1:96" customFormat="1" ht="33.5" x14ac:dyDescent="0.75">
      <c r="A4" s="14"/>
      <c r="B4" s="90" t="s">
        <v>43</v>
      </c>
      <c r="C4" s="8"/>
      <c r="D4" s="8"/>
      <c r="E4" s="8"/>
      <c r="F4" s="8"/>
      <c r="G4" s="8"/>
      <c r="H4" s="8"/>
      <c r="I4" s="13"/>
      <c r="J4" s="13"/>
      <c r="K4" s="13"/>
      <c r="L4" s="13"/>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row>
    <row r="5" spans="1:96" ht="21" x14ac:dyDescent="0.5">
      <c r="B5" s="85"/>
      <c r="C5" s="13"/>
      <c r="D5" s="13"/>
      <c r="E5" s="13"/>
      <c r="F5" s="13"/>
      <c r="G5" s="13"/>
      <c r="H5" s="13"/>
      <c r="I5" s="13"/>
      <c r="J5" s="13"/>
      <c r="K5" s="13"/>
      <c r="L5" s="13"/>
    </row>
    <row r="6" spans="1:96" ht="21" x14ac:dyDescent="0.5">
      <c r="B6" s="85"/>
      <c r="C6" s="13"/>
      <c r="D6" s="13"/>
      <c r="E6" s="13"/>
      <c r="F6" s="13"/>
      <c r="G6" s="13"/>
      <c r="H6" s="13"/>
      <c r="I6" s="13"/>
      <c r="J6" s="13"/>
      <c r="K6" s="13"/>
      <c r="L6" s="13"/>
    </row>
    <row r="7" spans="1:96" ht="71.150000000000006" customHeight="1" x14ac:dyDescent="0.75">
      <c r="B7" s="91"/>
      <c r="C7" s="13"/>
      <c r="D7" s="13"/>
      <c r="E7" s="13"/>
      <c r="F7" s="13"/>
      <c r="G7" s="13"/>
      <c r="H7" s="13"/>
      <c r="I7" s="13"/>
      <c r="J7" s="13"/>
      <c r="K7" s="13"/>
      <c r="L7" s="13"/>
    </row>
    <row r="8" spans="1:96" ht="33.5" x14ac:dyDescent="0.75">
      <c r="B8" s="90" t="s">
        <v>478</v>
      </c>
      <c r="C8" s="8"/>
      <c r="D8" s="8"/>
      <c r="E8" s="8"/>
      <c r="F8" s="8"/>
      <c r="G8" s="8"/>
      <c r="H8" s="8"/>
      <c r="I8" s="13"/>
      <c r="J8" s="13"/>
      <c r="K8" s="13"/>
      <c r="L8" s="13"/>
    </row>
    <row r="9" spans="1:96" ht="21" x14ac:dyDescent="0.5">
      <c r="B9" s="94" t="s">
        <v>479</v>
      </c>
      <c r="C9" s="85"/>
      <c r="D9" s="85"/>
      <c r="E9" s="13"/>
      <c r="F9" s="13"/>
      <c r="G9" s="13"/>
      <c r="H9" s="13"/>
      <c r="I9" s="13"/>
      <c r="J9" s="13"/>
      <c r="K9" s="13"/>
      <c r="L9" s="13"/>
    </row>
    <row r="10" spans="1:96" ht="21" x14ac:dyDescent="0.5">
      <c r="B10" s="85" t="str">
        <f>Dropdown!A2</f>
        <v>Bolig</v>
      </c>
      <c r="C10" s="85">
        <f>Dropdown!B2</f>
        <v>120</v>
      </c>
      <c r="D10" s="85" t="s">
        <v>381</v>
      </c>
      <c r="E10" s="13"/>
      <c r="F10" s="13"/>
      <c r="G10" s="13"/>
      <c r="H10" s="13"/>
      <c r="I10" s="13"/>
      <c r="J10" s="13"/>
      <c r="K10" s="13"/>
      <c r="L10" s="13"/>
    </row>
    <row r="11" spans="1:96" ht="21" x14ac:dyDescent="0.5">
      <c r="B11" s="85" t="str">
        <f>Dropdown!A3</f>
        <v>Kulturbygning</v>
      </c>
      <c r="C11" s="85">
        <f>Dropdown!B3</f>
        <v>120</v>
      </c>
      <c r="D11" s="85" t="s">
        <v>381</v>
      </c>
      <c r="E11" s="13"/>
      <c r="F11" s="13"/>
      <c r="G11" s="13"/>
      <c r="H11" s="13"/>
      <c r="I11" s="13"/>
      <c r="J11" s="13"/>
      <c r="K11" s="13"/>
      <c r="L11" s="13"/>
    </row>
    <row r="12" spans="1:96" ht="21" x14ac:dyDescent="0.5">
      <c r="B12" s="85" t="str">
        <f>Dropdown!A4</f>
        <v>Daginstitution</v>
      </c>
      <c r="C12" s="85">
        <f>Dropdown!B4</f>
        <v>100</v>
      </c>
      <c r="D12" s="85" t="s">
        <v>381</v>
      </c>
      <c r="E12" s="13"/>
      <c r="F12" s="13"/>
      <c r="G12" s="13"/>
      <c r="H12" s="13"/>
      <c r="I12" s="13"/>
      <c r="J12" s="13"/>
      <c r="K12" s="13"/>
      <c r="L12" s="13"/>
    </row>
    <row r="13" spans="1:96" ht="21" x14ac:dyDescent="0.5">
      <c r="B13" s="85" t="str">
        <f>Dropdown!A5</f>
        <v>Undervisning</v>
      </c>
      <c r="C13" s="85">
        <f>Dropdown!B5</f>
        <v>100</v>
      </c>
      <c r="D13" s="85" t="s">
        <v>381</v>
      </c>
      <c r="E13" s="13"/>
      <c r="F13" s="13"/>
      <c r="G13" s="13"/>
      <c r="H13" s="13"/>
      <c r="I13" s="13"/>
      <c r="J13" s="13"/>
      <c r="K13" s="13"/>
      <c r="L13" s="13"/>
    </row>
    <row r="14" spans="1:96" ht="21" x14ac:dyDescent="0.5">
      <c r="B14" s="85" t="str">
        <f>Dropdown!A6</f>
        <v>Sundhedsbygning</v>
      </c>
      <c r="C14" s="85">
        <f>Dropdown!B6</f>
        <v>100</v>
      </c>
      <c r="D14" s="85" t="s">
        <v>381</v>
      </c>
      <c r="E14" s="13"/>
      <c r="F14" s="13"/>
      <c r="G14" s="13"/>
      <c r="H14" s="13"/>
      <c r="I14" s="13"/>
      <c r="J14" s="13"/>
      <c r="K14" s="13"/>
      <c r="L14" s="13"/>
    </row>
    <row r="15" spans="1:96" ht="21" x14ac:dyDescent="0.5">
      <c r="B15" s="85" t="str">
        <f>Dropdown!A7</f>
        <v>Kontorbygning</v>
      </c>
      <c r="C15" s="85">
        <f>Dropdown!B7</f>
        <v>80</v>
      </c>
      <c r="D15" s="85" t="s">
        <v>381</v>
      </c>
      <c r="E15" s="13"/>
      <c r="F15" s="13"/>
      <c r="G15" s="13"/>
      <c r="H15" s="13"/>
      <c r="I15" s="13"/>
      <c r="J15" s="13"/>
      <c r="K15" s="13"/>
      <c r="L15" s="13"/>
    </row>
    <row r="16" spans="1:96" ht="21" x14ac:dyDescent="0.5">
      <c r="B16" s="85" t="str">
        <f>Dropdown!A8</f>
        <v>Idrætsanlæg</v>
      </c>
      <c r="C16" s="85">
        <f>Dropdown!B8</f>
        <v>60</v>
      </c>
      <c r="D16" s="85" t="s">
        <v>381</v>
      </c>
      <c r="E16" s="13"/>
      <c r="F16" s="13"/>
      <c r="G16" s="13"/>
      <c r="H16" s="13"/>
      <c r="I16" s="13"/>
      <c r="J16" s="13"/>
      <c r="K16" s="13"/>
      <c r="L16" s="13"/>
    </row>
    <row r="17" spans="1:96" ht="21" x14ac:dyDescent="0.5">
      <c r="B17" s="85">
        <f>Dropdown!A9</f>
        <v>0</v>
      </c>
      <c r="C17" s="85">
        <f>Dropdown!B9</f>
        <v>0</v>
      </c>
      <c r="D17" s="85" t="s">
        <v>381</v>
      </c>
      <c r="E17" s="13"/>
      <c r="F17" s="13"/>
      <c r="G17" s="13"/>
      <c r="H17" s="13"/>
      <c r="I17" s="13"/>
      <c r="J17" s="13"/>
      <c r="K17" s="13"/>
      <c r="L17" s="13"/>
    </row>
    <row r="18" spans="1:96" ht="36" x14ac:dyDescent="0.8">
      <c r="B18" s="91"/>
      <c r="C18" s="13"/>
      <c r="D18" s="92"/>
      <c r="E18" s="13"/>
      <c r="F18" s="13"/>
      <c r="G18" s="13"/>
      <c r="H18" s="13"/>
      <c r="I18" s="13"/>
      <c r="J18" s="13"/>
      <c r="K18" s="13"/>
      <c r="L18" s="13"/>
    </row>
    <row r="19" spans="1:96" ht="33.5" x14ac:dyDescent="0.75">
      <c r="B19" s="90" t="s">
        <v>480</v>
      </c>
      <c r="C19" s="8"/>
      <c r="D19" s="8"/>
      <c r="E19" s="8"/>
      <c r="F19" s="8"/>
      <c r="G19" s="8"/>
      <c r="H19" s="8"/>
      <c r="I19" s="13"/>
      <c r="J19" s="13"/>
      <c r="K19" s="13"/>
      <c r="L19" s="13"/>
    </row>
    <row r="20" spans="1:96" ht="53.15" customHeight="1" x14ac:dyDescent="0.5">
      <c r="B20" s="94"/>
      <c r="C20" s="85"/>
      <c r="D20" s="85"/>
      <c r="E20" s="85"/>
      <c r="F20" s="5" t="s">
        <v>1023</v>
      </c>
      <c r="G20" s="5" t="s">
        <v>1024</v>
      </c>
      <c r="H20" s="13"/>
      <c r="I20" s="13"/>
      <c r="J20" s="13"/>
      <c r="K20" s="13"/>
      <c r="L20" s="13"/>
    </row>
    <row r="21" spans="1:96" ht="24" x14ac:dyDescent="0.65">
      <c r="B21" s="85" t="str">
        <f>Dropdown!A14</f>
        <v>Fjernvarme</v>
      </c>
      <c r="C21" s="85">
        <f>IF($G$27="Nej",F21,G21)</f>
        <v>7.4200000000000002E-2</v>
      </c>
      <c r="D21" s="85" t="s">
        <v>481</v>
      </c>
      <c r="E21" s="85"/>
      <c r="F21" s="85">
        <v>7.4200000000000002E-2</v>
      </c>
      <c r="G21" s="85">
        <v>1.7000000000000001E-2</v>
      </c>
      <c r="H21" s="13"/>
      <c r="I21" s="13"/>
      <c r="J21" s="13"/>
      <c r="K21" s="13"/>
      <c r="L21" s="13"/>
    </row>
    <row r="22" spans="1:96" ht="24" x14ac:dyDescent="0.65">
      <c r="B22" s="85" t="str">
        <f>Dropdown!A15</f>
        <v>Naturgas</v>
      </c>
      <c r="C22" s="85">
        <f>IF($G$27="Nej",F22,G22)</f>
        <v>0.11</v>
      </c>
      <c r="D22" s="85" t="s">
        <v>481</v>
      </c>
      <c r="E22" s="85"/>
      <c r="F22" s="85">
        <v>0.11</v>
      </c>
      <c r="G22" s="85">
        <v>6.5000000000000002E-2</v>
      </c>
      <c r="H22" s="13"/>
      <c r="I22" s="13"/>
      <c r="J22" s="13"/>
      <c r="K22" s="13"/>
      <c r="L22" s="13"/>
    </row>
    <row r="23" spans="1:96" ht="24" x14ac:dyDescent="0.65">
      <c r="B23" s="85" t="str">
        <f>Dropdown!A16</f>
        <v>Varmepumpe</v>
      </c>
      <c r="C23" s="85">
        <f>IF($G$27="Nej",F23,G23)</f>
        <v>6.4000000000000001E-2</v>
      </c>
      <c r="D23" s="85" t="s">
        <v>481</v>
      </c>
      <c r="E23" s="85"/>
      <c r="F23" s="107">
        <f>0.064</f>
        <v>6.4000000000000001E-2</v>
      </c>
      <c r="G23" s="107">
        <f>0.032</f>
        <v>3.2000000000000001E-2</v>
      </c>
      <c r="H23" s="13"/>
      <c r="I23" s="13"/>
      <c r="J23" s="13"/>
      <c r="K23" s="13"/>
      <c r="L23" s="13"/>
    </row>
    <row r="24" spans="1:96" ht="24" x14ac:dyDescent="0.65">
      <c r="B24" s="85" t="str">
        <f>Dropdown!A17</f>
        <v>Elvarme</v>
      </c>
      <c r="C24" s="85">
        <f>IF($G$27="Nej",F24,G24)</f>
        <v>6.4000000000000001E-2</v>
      </c>
      <c r="D24" s="85" t="s">
        <v>481</v>
      </c>
      <c r="E24" s="85"/>
      <c r="F24" s="85">
        <v>6.4000000000000001E-2</v>
      </c>
      <c r="G24" s="85">
        <v>3.2000000000000001E-2</v>
      </c>
      <c r="H24" s="13"/>
      <c r="I24" s="13"/>
      <c r="J24" s="13"/>
      <c r="K24" s="13"/>
      <c r="L24" s="13"/>
    </row>
    <row r="25" spans="1:96" ht="21" x14ac:dyDescent="0.5">
      <c r="E25" s="85"/>
      <c r="F25" s="13"/>
      <c r="G25" s="13"/>
      <c r="H25" s="13"/>
      <c r="I25" s="13"/>
      <c r="J25" s="13"/>
      <c r="K25" s="13"/>
      <c r="L25" s="13"/>
    </row>
    <row r="26" spans="1:96" ht="24" x14ac:dyDescent="0.65">
      <c r="B26" s="85" t="str">
        <f>Dropdown!A19</f>
        <v>Træpiller</v>
      </c>
      <c r="C26" s="85">
        <f>Dropdown!D19</f>
        <v>0</v>
      </c>
      <c r="D26" s="85" t="s">
        <v>481</v>
      </c>
      <c r="E26" s="85"/>
      <c r="G26" s="13"/>
      <c r="H26" s="13"/>
      <c r="I26" s="13"/>
      <c r="J26" s="13"/>
      <c r="K26" s="13"/>
      <c r="L26" s="13"/>
    </row>
    <row r="27" spans="1:96" ht="24" x14ac:dyDescent="0.65">
      <c r="B27" s="85" t="str">
        <f>Dropdown!A20</f>
        <v>Fastbrændsel</v>
      </c>
      <c r="C27" s="85">
        <f>Dropdown!D20</f>
        <v>0</v>
      </c>
      <c r="D27" s="85" t="s">
        <v>481</v>
      </c>
      <c r="E27" s="85"/>
      <c r="F27" s="85" t="s">
        <v>1025</v>
      </c>
      <c r="G27" s="655" t="str">
        <f>Scenarier!N21</f>
        <v>Nej</v>
      </c>
      <c r="H27" s="13"/>
      <c r="I27" s="13"/>
      <c r="J27" s="13"/>
      <c r="K27" s="13"/>
      <c r="L27" s="13"/>
    </row>
    <row r="28" spans="1:96" ht="24" x14ac:dyDescent="0.65">
      <c r="B28" s="85" t="str">
        <f>Dropdown!A21</f>
        <v>Halm</v>
      </c>
      <c r="C28" s="85">
        <f>Dropdown!D21</f>
        <v>0</v>
      </c>
      <c r="D28" s="85" t="s">
        <v>481</v>
      </c>
      <c r="E28" s="85"/>
      <c r="F28" s="13"/>
      <c r="G28" s="13"/>
      <c r="H28" s="13"/>
      <c r="I28" s="13"/>
      <c r="J28" s="13"/>
      <c r="K28" s="13"/>
      <c r="L28" s="13"/>
    </row>
    <row r="29" spans="1:96" ht="21" x14ac:dyDescent="0.5">
      <c r="B29" s="1068" t="s">
        <v>482</v>
      </c>
      <c r="C29" s="1069"/>
      <c r="D29" s="1069"/>
      <c r="E29" s="1069"/>
      <c r="F29" s="1069"/>
      <c r="G29" s="1069"/>
      <c r="H29" s="1069"/>
      <c r="I29" s="13"/>
      <c r="J29" s="13"/>
      <c r="K29" s="13"/>
      <c r="L29" s="13"/>
    </row>
    <row r="30" spans="1:96" ht="21" x14ac:dyDescent="0.5">
      <c r="B30" s="85" t="s">
        <v>483</v>
      </c>
      <c r="C30" s="85">
        <f>VLOOKUP(Scenarier!M21,Antagelser!B21:C28,2,FALSE)</f>
        <v>7.4200000000000002E-2</v>
      </c>
      <c r="D30" s="85"/>
      <c r="E30" s="85"/>
      <c r="F30" s="13"/>
      <c r="G30" s="13"/>
      <c r="H30" s="13"/>
      <c r="I30" s="13"/>
      <c r="J30" s="13"/>
      <c r="K30" s="13"/>
      <c r="L30" s="13"/>
    </row>
    <row r="31" spans="1:96" ht="21" x14ac:dyDescent="0.5">
      <c r="B31" s="94" t="s">
        <v>484</v>
      </c>
      <c r="C31" s="85"/>
      <c r="D31" s="85"/>
      <c r="E31" s="85"/>
      <c r="F31" s="13"/>
      <c r="G31" s="13"/>
      <c r="H31" s="13"/>
      <c r="K31" s="13"/>
      <c r="L31" s="13"/>
    </row>
    <row r="32" spans="1:96" customFormat="1" ht="33.5" x14ac:dyDescent="0.75">
      <c r="A32" s="14"/>
      <c r="B32" s="93"/>
      <c r="C32" s="13"/>
      <c r="D32" s="13"/>
      <c r="E32" s="13"/>
      <c r="F32" s="13"/>
      <c r="G32" s="13"/>
      <c r="H32" s="13"/>
      <c r="I32" s="13"/>
      <c r="J32" s="13"/>
      <c r="K32" s="13"/>
      <c r="L32" s="13"/>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row>
    <row r="33" spans="1:96" customFormat="1" ht="33.5" x14ac:dyDescent="0.75">
      <c r="A33" s="14"/>
      <c r="B33" s="90" t="s">
        <v>485</v>
      </c>
      <c r="C33" s="8"/>
      <c r="D33" s="8"/>
      <c r="E33" s="8"/>
      <c r="F33" s="8"/>
      <c r="G33" s="8"/>
      <c r="H33" s="8"/>
      <c r="I33" s="13"/>
      <c r="J33" s="13"/>
      <c r="K33" s="13"/>
      <c r="L33" s="13"/>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row>
    <row r="34" spans="1:96" ht="21" x14ac:dyDescent="0.5">
      <c r="B34" s="94" t="s">
        <v>486</v>
      </c>
      <c r="C34" s="85"/>
      <c r="D34" s="85"/>
      <c r="E34" s="85"/>
      <c r="F34" s="85"/>
      <c r="G34" s="13"/>
      <c r="H34" s="13"/>
      <c r="I34" s="13"/>
      <c r="J34" s="13"/>
      <c r="K34" s="13"/>
      <c r="L34" s="13"/>
    </row>
    <row r="35" spans="1:96" ht="21" x14ac:dyDescent="0.5">
      <c r="B35" s="85" t="s">
        <v>487</v>
      </c>
      <c r="C35" s="85">
        <f>Varmetab!H2</f>
        <v>20</v>
      </c>
      <c r="D35" s="85" t="s">
        <v>488</v>
      </c>
      <c r="E35" s="85"/>
      <c r="F35" s="85"/>
      <c r="G35" s="13"/>
      <c r="H35" s="13"/>
      <c r="I35" s="13"/>
      <c r="J35" s="13"/>
      <c r="K35" s="13"/>
      <c r="L35" s="13"/>
    </row>
    <row r="36" spans="1:96" ht="21" x14ac:dyDescent="0.5">
      <c r="B36" s="85" t="s">
        <v>163</v>
      </c>
      <c r="C36" s="85">
        <f>Varmetab!H3</f>
        <v>4</v>
      </c>
      <c r="D36" s="85" t="s">
        <v>488</v>
      </c>
      <c r="E36" s="85"/>
      <c r="F36" s="85"/>
      <c r="G36" s="13"/>
      <c r="H36" s="13"/>
      <c r="I36" s="13"/>
      <c r="J36" s="13"/>
      <c r="K36" s="13"/>
      <c r="L36" s="13"/>
    </row>
    <row r="37" spans="1:96" customFormat="1" ht="21" x14ac:dyDescent="0.5">
      <c r="A37" s="14"/>
      <c r="B37" s="85" t="s">
        <v>489</v>
      </c>
      <c r="C37" s="85">
        <f>Varmetab!H4</f>
        <v>10</v>
      </c>
      <c r="D37" s="85" t="s">
        <v>488</v>
      </c>
      <c r="E37" s="85"/>
      <c r="F37" s="85"/>
      <c r="G37" s="13"/>
      <c r="H37" s="13"/>
      <c r="I37" s="13"/>
      <c r="J37" s="13"/>
      <c r="K37" s="13"/>
      <c r="L37" s="13"/>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row>
    <row r="38" spans="1:96" customFormat="1" ht="21" x14ac:dyDescent="0.5">
      <c r="A38" s="14"/>
      <c r="B38" s="85" t="s">
        <v>156</v>
      </c>
      <c r="C38" s="85">
        <f>Varmetab!H1</f>
        <v>5100</v>
      </c>
      <c r="D38" s="85" t="s">
        <v>490</v>
      </c>
      <c r="E38" s="85"/>
      <c r="F38" s="85"/>
      <c r="G38" s="13"/>
      <c r="H38" s="13"/>
      <c r="I38" s="13"/>
      <c r="J38" s="13"/>
      <c r="K38" s="13"/>
      <c r="L38" s="13"/>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row>
    <row r="39" spans="1:96" customFormat="1" ht="21" x14ac:dyDescent="0.5">
      <c r="A39" s="14"/>
      <c r="B39" s="85"/>
      <c r="C39" s="85"/>
      <c r="D39" s="85"/>
      <c r="E39" s="85"/>
      <c r="F39" s="85"/>
      <c r="G39" s="13"/>
      <c r="H39" s="13"/>
      <c r="I39" s="13"/>
      <c r="J39" s="13"/>
      <c r="K39" s="13"/>
      <c r="L39" s="13"/>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row>
    <row r="40" spans="1:96" customFormat="1" ht="21" x14ac:dyDescent="0.5">
      <c r="A40" s="14"/>
      <c r="B40" s="94" t="s">
        <v>491</v>
      </c>
      <c r="C40" s="85"/>
      <c r="D40" s="85"/>
      <c r="E40" s="85"/>
      <c r="F40" s="85"/>
      <c r="G40" s="13"/>
      <c r="H40" s="13"/>
      <c r="I40" s="13"/>
      <c r="J40" s="13"/>
      <c r="K40" s="13"/>
      <c r="L40" s="13"/>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row>
    <row r="41" spans="1:96" customFormat="1" ht="21" x14ac:dyDescent="0.5">
      <c r="A41" s="14"/>
      <c r="B41" s="85">
        <f>Dropdown!T1</f>
        <v>0</v>
      </c>
      <c r="C41" s="85">
        <f>Dropdown!U1</f>
        <v>0</v>
      </c>
      <c r="D41" s="85" t="s">
        <v>170</v>
      </c>
      <c r="E41" s="85"/>
      <c r="F41" s="85"/>
      <c r="G41" s="13"/>
      <c r="H41" s="13"/>
      <c r="I41" s="13"/>
      <c r="J41" s="13"/>
      <c r="K41" s="13"/>
      <c r="L41" s="13"/>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row>
    <row r="42" spans="1:96" customFormat="1" ht="21" x14ac:dyDescent="0.5">
      <c r="A42" s="14"/>
      <c r="B42" s="85" t="str">
        <f>Dropdown!T2</f>
        <v>2 lags termorude med kold kant</v>
      </c>
      <c r="C42" s="85">
        <f>Dropdown!U2</f>
        <v>2.82</v>
      </c>
      <c r="D42" s="85" t="s">
        <v>170</v>
      </c>
      <c r="E42" s="85"/>
      <c r="F42" s="85"/>
      <c r="G42" s="13"/>
      <c r="H42" s="13"/>
      <c r="I42" s="13"/>
      <c r="J42" s="13"/>
      <c r="K42" s="13"/>
      <c r="L42" s="13"/>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row>
    <row r="43" spans="1:96" customFormat="1" ht="21" x14ac:dyDescent="0.5">
      <c r="A43" s="14"/>
      <c r="B43" s="85">
        <f>Dropdown!T3</f>
        <v>0</v>
      </c>
      <c r="C43" s="85">
        <f>Dropdown!U3</f>
        <v>0</v>
      </c>
      <c r="D43" s="85" t="s">
        <v>170</v>
      </c>
      <c r="E43" s="85"/>
      <c r="F43" s="85"/>
      <c r="G43" s="13"/>
      <c r="H43" s="13"/>
      <c r="I43" s="13"/>
      <c r="J43" s="13"/>
      <c r="K43" s="13"/>
      <c r="L43" s="13"/>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row>
    <row r="44" spans="1:96" customFormat="1" ht="21" x14ac:dyDescent="0.5">
      <c r="A44" s="14"/>
      <c r="B44" s="85" t="str">
        <f>Dropdown!T4</f>
        <v>2 lags energirude med kold kant</v>
      </c>
      <c r="C44" s="85">
        <f>Dropdown!U4</f>
        <v>1.42</v>
      </c>
      <c r="D44" s="85" t="s">
        <v>170</v>
      </c>
      <c r="E44" s="85"/>
      <c r="F44" s="85"/>
      <c r="G44" s="13"/>
      <c r="H44" s="13"/>
      <c r="I44" s="13"/>
      <c r="J44" s="13"/>
      <c r="K44" s="13"/>
      <c r="L44" s="13"/>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row>
    <row r="45" spans="1:96" customFormat="1" ht="21" x14ac:dyDescent="0.5">
      <c r="A45" s="14"/>
      <c r="B45" s="85" t="str">
        <f>Dropdown!T5</f>
        <v>2 lags energirude med varm kant</v>
      </c>
      <c r="C45" s="85">
        <f>Dropdown!U5</f>
        <v>1.33</v>
      </c>
      <c r="D45" s="85" t="s">
        <v>170</v>
      </c>
      <c r="E45" s="85"/>
      <c r="F45" s="85"/>
      <c r="G45" s="13"/>
      <c r="H45" s="13"/>
      <c r="I45" s="13"/>
      <c r="J45" s="13"/>
      <c r="K45" s="13"/>
      <c r="L45" s="13"/>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row>
    <row r="46" spans="1:96" customFormat="1" ht="21" x14ac:dyDescent="0.5">
      <c r="A46" s="14"/>
      <c r="B46" s="85" t="str">
        <f>Dropdown!T6</f>
        <v>3 lags energirude</v>
      </c>
      <c r="C46" s="85">
        <f>Dropdown!U6</f>
        <v>0.8</v>
      </c>
      <c r="D46" s="85" t="s">
        <v>170</v>
      </c>
      <c r="E46" s="85"/>
      <c r="F46" s="85"/>
      <c r="G46" s="13"/>
      <c r="H46" s="13"/>
      <c r="I46" s="13"/>
      <c r="J46" s="13"/>
      <c r="K46" s="13"/>
      <c r="L46" s="13"/>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row>
    <row r="47" spans="1:96" customFormat="1" ht="21" x14ac:dyDescent="0.5">
      <c r="A47" s="14"/>
      <c r="B47" s="85">
        <f>Dropdown!T7</f>
        <v>0</v>
      </c>
      <c r="C47" s="85">
        <f>Dropdown!U7</f>
        <v>0</v>
      </c>
      <c r="D47" s="85" t="s">
        <v>170</v>
      </c>
      <c r="E47" s="85"/>
      <c r="F47" s="85"/>
      <c r="G47" s="13"/>
      <c r="H47" s="13"/>
      <c r="I47" s="13"/>
      <c r="J47" s="13"/>
      <c r="K47" s="13"/>
      <c r="L47" s="13"/>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row>
    <row r="48" spans="1:96" customFormat="1" ht="21" x14ac:dyDescent="0.5">
      <c r="A48" s="14"/>
      <c r="B48" s="85"/>
      <c r="C48" s="85"/>
      <c r="D48" s="85"/>
      <c r="E48" s="85"/>
      <c r="F48" s="85"/>
      <c r="G48" s="13"/>
      <c r="H48" s="13"/>
      <c r="I48" s="13"/>
      <c r="J48" s="13"/>
      <c r="K48" s="13"/>
      <c r="L48" s="13"/>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row>
    <row r="49" spans="1:96" customFormat="1" ht="21" x14ac:dyDescent="0.5">
      <c r="A49" s="14"/>
      <c r="B49" s="85" t="s">
        <v>492</v>
      </c>
      <c r="C49" s="85"/>
      <c r="D49" s="85"/>
      <c r="E49" s="85"/>
      <c r="F49" s="85"/>
      <c r="G49" s="13"/>
      <c r="H49" s="13"/>
      <c r="I49" s="13"/>
      <c r="J49" s="13"/>
      <c r="K49" s="13"/>
      <c r="L49" s="13"/>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row>
    <row r="50" spans="1:96" customFormat="1" ht="21" x14ac:dyDescent="0.5">
      <c r="A50" s="14"/>
      <c r="B50" s="85"/>
      <c r="C50" s="85"/>
      <c r="D50" s="85"/>
      <c r="E50" s="85"/>
      <c r="F50" s="85"/>
      <c r="G50" s="13"/>
      <c r="H50" s="13"/>
      <c r="I50" s="13"/>
      <c r="J50" s="13"/>
      <c r="K50" s="13"/>
      <c r="L50" s="13"/>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row>
    <row r="51" spans="1:96" customFormat="1" ht="21" x14ac:dyDescent="0.5">
      <c r="A51" s="14"/>
      <c r="B51" s="94" t="s">
        <v>493</v>
      </c>
      <c r="C51" s="85"/>
      <c r="D51" s="85"/>
      <c r="E51" s="85"/>
      <c r="F51" s="85"/>
      <c r="G51" s="13"/>
      <c r="H51" s="13"/>
      <c r="I51" s="13"/>
      <c r="J51" s="13"/>
      <c r="K51" s="13"/>
      <c r="L51" s="13"/>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row>
    <row r="52" spans="1:96" customFormat="1" ht="33.5" x14ac:dyDescent="0.75">
      <c r="A52" s="14"/>
      <c r="B52" s="93"/>
      <c r="C52" s="13"/>
      <c r="D52" s="13"/>
      <c r="E52" s="13"/>
      <c r="F52" s="13"/>
      <c r="G52" s="13"/>
      <c r="H52" s="13"/>
      <c r="I52" s="13"/>
      <c r="J52" s="13"/>
      <c r="K52" s="13"/>
      <c r="L52" s="13"/>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row>
    <row r="53" spans="1:96" customFormat="1" ht="33.5" x14ac:dyDescent="0.75">
      <c r="A53" s="14"/>
      <c r="B53" s="90" t="s">
        <v>256</v>
      </c>
      <c r="C53" s="8"/>
      <c r="D53" s="8"/>
      <c r="E53" s="8"/>
      <c r="F53" s="8"/>
      <c r="G53" s="8"/>
      <c r="H53" s="8"/>
      <c r="I53" s="13"/>
      <c r="J53" s="13"/>
      <c r="K53" s="13"/>
      <c r="L53" s="13"/>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row>
    <row r="54" spans="1:96" customFormat="1" ht="21" x14ac:dyDescent="0.5">
      <c r="A54" s="14"/>
      <c r="B54" s="94" t="s">
        <v>494</v>
      </c>
      <c r="C54" s="13"/>
      <c r="D54" s="13"/>
      <c r="E54" s="13"/>
      <c r="F54" s="13"/>
      <c r="G54" s="13"/>
      <c r="H54" s="13"/>
      <c r="I54" s="13"/>
      <c r="J54" s="13"/>
      <c r="K54" s="13"/>
      <c r="L54" s="13"/>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row>
    <row r="55" spans="1:96" customFormat="1" ht="23.15" customHeight="1" x14ac:dyDescent="0.35">
      <c r="A55" s="14"/>
      <c r="B55" s="89" t="s">
        <v>495</v>
      </c>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row>
    <row r="56" spans="1:96" customFormat="1" x14ac:dyDescent="0.35">
      <c r="A56" s="14"/>
      <c r="B56" s="26"/>
      <c r="C56" s="26" t="s">
        <v>496</v>
      </c>
      <c r="D56" s="24" t="s">
        <v>497</v>
      </c>
      <c r="E56" s="24" t="s">
        <v>498</v>
      </c>
      <c r="F56" s="24" t="s">
        <v>256</v>
      </c>
      <c r="G56" s="24" t="s">
        <v>499</v>
      </c>
      <c r="H56" s="24" t="s">
        <v>264</v>
      </c>
      <c r="I56" s="87"/>
      <c r="J56" s="13"/>
      <c r="K56" s="87"/>
      <c r="L56" s="13"/>
      <c r="M56" s="87"/>
      <c r="N56" s="13"/>
      <c r="O56" s="87"/>
      <c r="P56" s="13"/>
      <c r="Q56" s="87"/>
      <c r="R56" s="13"/>
      <c r="S56" s="87"/>
      <c r="T56" s="13"/>
      <c r="U56" s="87"/>
      <c r="V56" s="13"/>
      <c r="W56" s="87"/>
      <c r="X56" s="13"/>
      <c r="Y56" s="87"/>
      <c r="Z56" s="13"/>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row>
    <row r="57" spans="1:96" customFormat="1" ht="23.25" customHeight="1" x14ac:dyDescent="0.35">
      <c r="A57" s="14"/>
      <c r="B57" s="8"/>
      <c r="C57" s="25"/>
      <c r="D57" s="25"/>
      <c r="E57" s="25"/>
      <c r="F57" s="25" t="s">
        <v>500</v>
      </c>
      <c r="G57" s="25" t="s">
        <v>20</v>
      </c>
      <c r="H57" s="24"/>
      <c r="I57" s="87"/>
      <c r="J57" s="13"/>
      <c r="K57" s="87"/>
      <c r="L57" s="13"/>
      <c r="M57" s="87"/>
      <c r="N57" s="13"/>
      <c r="O57" s="87"/>
      <c r="P57" s="13"/>
      <c r="Q57" s="87"/>
      <c r="R57" s="13"/>
      <c r="S57" s="87"/>
      <c r="T57" s="13"/>
      <c r="U57" s="87"/>
      <c r="V57" s="13"/>
      <c r="W57" s="87"/>
      <c r="X57" s="13"/>
      <c r="Y57" s="87"/>
      <c r="Z57" s="13"/>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row>
    <row r="58" spans="1:96" ht="25.4" customHeight="1" x14ac:dyDescent="0.55000000000000004">
      <c r="B58" s="31" t="s">
        <v>269</v>
      </c>
      <c r="C58" s="17"/>
      <c r="D58" s="27"/>
      <c r="E58" s="27"/>
      <c r="F58" s="27"/>
      <c r="G58" s="27"/>
      <c r="H58" s="27"/>
      <c r="I58" s="35"/>
      <c r="J58" s="35"/>
      <c r="K58" s="36"/>
      <c r="L58" s="36"/>
      <c r="M58" s="1"/>
      <c r="O58" s="37"/>
      <c r="P58" s="37"/>
      <c r="Q58" s="37"/>
      <c r="R58" s="37"/>
      <c r="S58" s="37"/>
      <c r="T58" s="37"/>
      <c r="U58" s="37"/>
      <c r="W58" s="38"/>
      <c r="X58" s="39"/>
      <c r="Y58" s="38"/>
    </row>
    <row r="59" spans="1:96" ht="18" customHeight="1" x14ac:dyDescent="0.35">
      <c r="B59" s="1058" t="s">
        <v>271</v>
      </c>
      <c r="C59" s="14" t="s">
        <v>501</v>
      </c>
      <c r="D59" s="21">
        <v>0.108</v>
      </c>
      <c r="E59" s="21" t="s">
        <v>502</v>
      </c>
      <c r="F59" s="110" t="s">
        <v>503</v>
      </c>
      <c r="G59" s="95">
        <v>44562</v>
      </c>
      <c r="H59" s="36" t="s">
        <v>270</v>
      </c>
      <c r="I59" s="35"/>
      <c r="J59" s="35"/>
      <c r="K59" s="36"/>
      <c r="L59" s="36"/>
      <c r="M59" s="1"/>
      <c r="O59" s="37"/>
      <c r="P59" s="37"/>
      <c r="Q59" s="37"/>
      <c r="R59" s="37"/>
      <c r="S59" s="37"/>
      <c r="T59" s="37"/>
      <c r="U59" s="37"/>
      <c r="W59" s="38"/>
      <c r="X59" s="39"/>
      <c r="Y59" s="38"/>
    </row>
    <row r="60" spans="1:96" ht="24.75" customHeight="1" x14ac:dyDescent="0.35">
      <c r="B60" s="1059"/>
      <c r="C60" s="68" t="s">
        <v>504</v>
      </c>
      <c r="D60" s="21">
        <v>12.096</v>
      </c>
      <c r="E60" s="21" t="s">
        <v>505</v>
      </c>
      <c r="F60" s="111" t="s">
        <v>506</v>
      </c>
      <c r="G60" s="96">
        <v>43831</v>
      </c>
      <c r="H60" s="41" t="s">
        <v>270</v>
      </c>
      <c r="I60" s="35"/>
      <c r="J60" s="35"/>
      <c r="K60" s="36"/>
      <c r="L60" s="36"/>
      <c r="M60" s="1"/>
      <c r="O60" s="37"/>
      <c r="P60" s="37"/>
      <c r="Q60" s="37"/>
      <c r="R60" s="37"/>
      <c r="S60" s="37"/>
      <c r="T60" s="37"/>
      <c r="U60" s="37"/>
      <c r="W60" s="38"/>
      <c r="X60" s="39"/>
      <c r="Y60" s="38"/>
    </row>
    <row r="61" spans="1:96" ht="23.25" customHeight="1" x14ac:dyDescent="0.35">
      <c r="B61" s="1057" t="s">
        <v>272</v>
      </c>
      <c r="C61" s="73" t="s">
        <v>507</v>
      </c>
      <c r="D61" s="45">
        <v>194.4</v>
      </c>
      <c r="E61" s="45" t="s">
        <v>505</v>
      </c>
      <c r="F61" s="112" t="s">
        <v>508</v>
      </c>
      <c r="G61" s="97">
        <v>44562</v>
      </c>
      <c r="H61" s="43" t="s">
        <v>288</v>
      </c>
      <c r="I61" s="35"/>
      <c r="J61" s="35"/>
      <c r="K61" s="36"/>
      <c r="L61" s="36"/>
      <c r="M61" s="1"/>
      <c r="O61" s="37"/>
      <c r="P61" s="37"/>
      <c r="Q61" s="37"/>
      <c r="R61" s="37"/>
      <c r="S61" s="37"/>
      <c r="T61" s="37"/>
      <c r="U61" s="37"/>
      <c r="W61" s="38"/>
      <c r="X61" s="39"/>
      <c r="Y61" s="38"/>
    </row>
    <row r="62" spans="1:96" ht="21.75" customHeight="1" x14ac:dyDescent="0.35">
      <c r="B62" s="1059"/>
      <c r="C62" s="68" t="s">
        <v>504</v>
      </c>
      <c r="D62" s="44">
        <v>12.096</v>
      </c>
      <c r="E62" s="44" t="s">
        <v>505</v>
      </c>
      <c r="F62" s="113" t="s">
        <v>506</v>
      </c>
      <c r="G62" s="96">
        <v>44562</v>
      </c>
      <c r="H62" s="41" t="s">
        <v>270</v>
      </c>
      <c r="I62" s="35"/>
      <c r="J62" s="35"/>
      <c r="K62" s="36"/>
      <c r="L62" s="36"/>
      <c r="M62" s="1"/>
      <c r="O62" s="37"/>
      <c r="P62" s="37"/>
      <c r="Q62" s="37"/>
      <c r="R62" s="37"/>
      <c r="S62" s="37"/>
      <c r="T62" s="37"/>
      <c r="U62" s="37"/>
      <c r="W62" s="38"/>
      <c r="X62" s="39"/>
      <c r="Y62" s="38"/>
    </row>
    <row r="63" spans="1:96" ht="20.25" customHeight="1" x14ac:dyDescent="0.35">
      <c r="B63" s="1060" t="s">
        <v>101</v>
      </c>
      <c r="C63" s="84" t="s">
        <v>509</v>
      </c>
      <c r="D63" s="43">
        <v>4.9000000000000004</v>
      </c>
      <c r="E63" s="43" t="s">
        <v>510</v>
      </c>
      <c r="F63" s="114" t="s">
        <v>511</v>
      </c>
      <c r="G63" s="47">
        <v>44562</v>
      </c>
      <c r="H63" s="43" t="s">
        <v>270</v>
      </c>
      <c r="I63" s="35"/>
      <c r="J63" s="35"/>
      <c r="K63" s="36"/>
      <c r="L63" s="36"/>
      <c r="M63" s="1"/>
      <c r="O63" s="37"/>
      <c r="P63" s="37"/>
      <c r="Q63" s="37"/>
      <c r="R63" s="37"/>
      <c r="S63" s="37"/>
      <c r="T63" s="37"/>
      <c r="U63" s="37"/>
      <c r="W63" s="38"/>
      <c r="X63" s="39"/>
      <c r="Y63" s="38"/>
    </row>
    <row r="64" spans="1:96" ht="23.25" customHeight="1" x14ac:dyDescent="0.35">
      <c r="B64" s="1061"/>
      <c r="C64" s="46" t="s">
        <v>512</v>
      </c>
      <c r="D64" s="41">
        <v>0.1</v>
      </c>
      <c r="E64" s="41" t="s">
        <v>513</v>
      </c>
      <c r="F64" s="115" t="s">
        <v>514</v>
      </c>
      <c r="G64" s="48">
        <v>44927</v>
      </c>
      <c r="H64" s="41" t="s">
        <v>270</v>
      </c>
      <c r="I64" s="35"/>
      <c r="J64" s="35"/>
      <c r="K64" s="36"/>
      <c r="L64" s="36"/>
      <c r="M64" s="1"/>
      <c r="O64" s="37"/>
      <c r="P64" s="37"/>
      <c r="Q64" s="37"/>
      <c r="R64" s="37"/>
      <c r="S64" s="37"/>
      <c r="T64" s="37"/>
      <c r="U64" s="37"/>
      <c r="W64" s="38"/>
      <c r="X64" s="39"/>
      <c r="Y64" s="38"/>
    </row>
    <row r="65" spans="2:26" ht="21" customHeight="1" x14ac:dyDescent="0.35">
      <c r="B65" s="1062" t="s">
        <v>273</v>
      </c>
      <c r="C65" s="22" t="s">
        <v>515</v>
      </c>
      <c r="D65" s="50">
        <v>2.0830000000000002E-3</v>
      </c>
      <c r="E65" s="36" t="s">
        <v>516</v>
      </c>
      <c r="F65" s="116" t="s">
        <v>517</v>
      </c>
      <c r="G65" s="47">
        <v>44562</v>
      </c>
      <c r="H65" s="43" t="s">
        <v>270</v>
      </c>
      <c r="I65" s="35"/>
      <c r="J65" s="35"/>
      <c r="K65" s="36"/>
      <c r="L65" s="36"/>
      <c r="M65" s="1"/>
      <c r="O65" s="37"/>
      <c r="P65" s="37"/>
      <c r="Q65" s="37"/>
      <c r="R65" s="37"/>
      <c r="S65" s="37"/>
      <c r="T65" s="37"/>
      <c r="U65" s="37"/>
      <c r="W65" s="38"/>
      <c r="X65" s="39"/>
      <c r="Y65" s="38"/>
    </row>
    <row r="66" spans="2:26" ht="22.5" customHeight="1" x14ac:dyDescent="0.35">
      <c r="B66" s="1060"/>
      <c r="C66" s="22" t="s">
        <v>518</v>
      </c>
      <c r="D66" s="23">
        <v>0.69</v>
      </c>
      <c r="E66" s="36" t="s">
        <v>516</v>
      </c>
      <c r="F66" s="117" t="s">
        <v>519</v>
      </c>
      <c r="G66" s="49">
        <v>44562</v>
      </c>
      <c r="H66" s="36" t="s">
        <v>270</v>
      </c>
      <c r="I66" s="35"/>
      <c r="J66" s="35"/>
      <c r="K66" s="36"/>
      <c r="L66" s="36"/>
      <c r="M66" s="1"/>
      <c r="O66" s="37"/>
      <c r="P66" s="37"/>
      <c r="Q66" s="37"/>
      <c r="R66" s="37"/>
      <c r="S66" s="37"/>
      <c r="T66" s="37"/>
      <c r="U66" s="37"/>
      <c r="W66" s="38"/>
      <c r="X66" s="39"/>
      <c r="Y66" s="38"/>
    </row>
    <row r="67" spans="2:26" ht="21.75" customHeight="1" x14ac:dyDescent="0.35">
      <c r="B67" s="1060"/>
      <c r="C67" s="22" t="s">
        <v>520</v>
      </c>
      <c r="D67" s="23">
        <v>1</v>
      </c>
      <c r="E67" s="36" t="s">
        <v>516</v>
      </c>
      <c r="F67" s="116" t="s">
        <v>521</v>
      </c>
      <c r="G67" s="49">
        <v>44562</v>
      </c>
      <c r="H67" s="36" t="s">
        <v>270</v>
      </c>
      <c r="I67" s="35"/>
      <c r="J67" s="35"/>
      <c r="K67" s="36"/>
      <c r="L67" s="36"/>
      <c r="M67" s="1"/>
      <c r="O67" s="37"/>
      <c r="P67" s="37"/>
      <c r="Q67" s="37"/>
      <c r="R67" s="37"/>
      <c r="S67" s="37"/>
      <c r="T67" s="37"/>
      <c r="U67" s="37"/>
      <c r="W67" s="38"/>
      <c r="X67" s="39"/>
      <c r="Y67" s="38"/>
    </row>
    <row r="68" spans="2:26" ht="18" customHeight="1" x14ac:dyDescent="0.35">
      <c r="B68" s="1061"/>
      <c r="C68" s="46" t="s">
        <v>522</v>
      </c>
      <c r="D68" s="44">
        <v>0.69</v>
      </c>
      <c r="E68" s="44" t="s">
        <v>523</v>
      </c>
      <c r="F68" s="113" t="s">
        <v>524</v>
      </c>
      <c r="G68" s="96">
        <v>44562</v>
      </c>
      <c r="H68" s="41" t="s">
        <v>270</v>
      </c>
      <c r="I68" s="35"/>
      <c r="J68" s="35"/>
      <c r="K68" s="36"/>
      <c r="L68" s="36"/>
      <c r="M68" s="1"/>
      <c r="O68" s="37"/>
      <c r="P68" s="37"/>
      <c r="Q68" s="37"/>
      <c r="R68" s="37"/>
      <c r="S68" s="37"/>
      <c r="T68" s="37"/>
      <c r="U68" s="37"/>
      <c r="W68" s="38"/>
      <c r="X68" s="39"/>
      <c r="Y68" s="38"/>
    </row>
    <row r="69" spans="2:26" ht="18.75" customHeight="1" x14ac:dyDescent="0.35">
      <c r="B69" s="1058" t="s">
        <v>274</v>
      </c>
      <c r="C69" s="14" t="s">
        <v>518</v>
      </c>
      <c r="D69" s="21">
        <v>0.15</v>
      </c>
      <c r="E69" s="21" t="s">
        <v>505</v>
      </c>
      <c r="F69" s="110" t="s">
        <v>519</v>
      </c>
      <c r="G69" s="95">
        <v>44562</v>
      </c>
      <c r="H69" s="98" t="s">
        <v>270</v>
      </c>
      <c r="I69" s="71"/>
      <c r="J69" s="71"/>
      <c r="K69" s="71"/>
      <c r="L69" s="71"/>
      <c r="M69" s="71"/>
      <c r="N69" s="71"/>
      <c r="O69" s="71"/>
      <c r="P69" s="71"/>
      <c r="Q69" s="71"/>
      <c r="R69" s="71"/>
      <c r="S69" s="71"/>
      <c r="T69" s="71"/>
      <c r="U69" s="71"/>
      <c r="V69" s="71"/>
      <c r="W69" s="71"/>
      <c r="X69" s="71"/>
      <c r="Y69" s="71"/>
      <c r="Z69" s="71"/>
    </row>
    <row r="70" spans="2:26" ht="16.5" x14ac:dyDescent="0.35">
      <c r="B70" s="1058"/>
      <c r="C70" s="14" t="s">
        <v>525</v>
      </c>
      <c r="D70" s="21">
        <v>5.76</v>
      </c>
      <c r="E70" s="21" t="s">
        <v>505</v>
      </c>
      <c r="F70" s="118" t="s">
        <v>526</v>
      </c>
      <c r="G70" s="95">
        <v>43831</v>
      </c>
      <c r="H70" s="98" t="s">
        <v>270</v>
      </c>
      <c r="I70" s="71"/>
      <c r="J70" s="71"/>
      <c r="K70" s="71"/>
      <c r="L70" s="71"/>
      <c r="M70" s="71"/>
      <c r="N70" s="71"/>
      <c r="O70" s="71"/>
      <c r="P70" s="71"/>
      <c r="Q70" s="71"/>
      <c r="R70" s="71"/>
      <c r="S70" s="71"/>
      <c r="T70" s="71"/>
      <c r="U70" s="71"/>
      <c r="V70" s="71"/>
      <c r="W70" s="71"/>
      <c r="X70" s="71"/>
      <c r="Y70" s="71"/>
      <c r="Z70" s="71"/>
    </row>
    <row r="71" spans="2:26" ht="16.5" x14ac:dyDescent="0.35">
      <c r="B71" s="1058"/>
      <c r="C71" s="14" t="s">
        <v>527</v>
      </c>
      <c r="D71" s="21">
        <v>5</v>
      </c>
      <c r="E71" s="21" t="s">
        <v>505</v>
      </c>
      <c r="F71" s="118" t="s">
        <v>528</v>
      </c>
      <c r="G71" s="95">
        <v>44562</v>
      </c>
      <c r="H71" s="98" t="s">
        <v>270</v>
      </c>
      <c r="I71" s="71"/>
      <c r="J71" s="71"/>
      <c r="K71" s="71"/>
      <c r="L71" s="71"/>
      <c r="M71" s="71"/>
      <c r="N71" s="71"/>
      <c r="O71" s="71"/>
      <c r="P71" s="71"/>
      <c r="Q71" s="71"/>
      <c r="R71" s="71"/>
      <c r="S71" s="71"/>
      <c r="T71" s="71"/>
      <c r="U71" s="71"/>
      <c r="V71" s="71"/>
      <c r="W71" s="71"/>
      <c r="X71" s="71"/>
      <c r="Y71" s="71"/>
      <c r="Z71" s="71"/>
    </row>
    <row r="72" spans="2:26" ht="16.5" x14ac:dyDescent="0.35">
      <c r="B72" s="1059"/>
      <c r="C72" s="68" t="s">
        <v>522</v>
      </c>
      <c r="D72" s="44">
        <v>0.69</v>
      </c>
      <c r="E72" s="44" t="s">
        <v>523</v>
      </c>
      <c r="F72" s="113" t="s">
        <v>524</v>
      </c>
      <c r="G72" s="96">
        <v>44562</v>
      </c>
      <c r="H72" s="99" t="s">
        <v>270</v>
      </c>
      <c r="I72" s="71"/>
      <c r="J72" s="71"/>
      <c r="K72" s="71"/>
      <c r="L72" s="71"/>
      <c r="M72" s="71"/>
      <c r="N72" s="71"/>
      <c r="O72" s="71"/>
      <c r="P72" s="71"/>
      <c r="Q72" s="71"/>
      <c r="R72" s="71"/>
      <c r="S72" s="71"/>
      <c r="T72" s="71"/>
      <c r="U72" s="71"/>
      <c r="V72" s="71"/>
      <c r="W72" s="71"/>
      <c r="X72" s="71"/>
      <c r="Y72" s="71"/>
      <c r="Z72" s="71"/>
    </row>
    <row r="73" spans="2:26" ht="18.75" customHeight="1" x14ac:dyDescent="0.35">
      <c r="B73" s="1058" t="s">
        <v>275</v>
      </c>
      <c r="C73" s="14" t="s">
        <v>529</v>
      </c>
      <c r="D73" s="21">
        <v>2.7</v>
      </c>
      <c r="E73" s="21" t="s">
        <v>505</v>
      </c>
      <c r="F73" s="110" t="s">
        <v>530</v>
      </c>
      <c r="G73" s="95">
        <v>44562</v>
      </c>
      <c r="H73" s="100" t="s">
        <v>270</v>
      </c>
      <c r="I73" s="71"/>
      <c r="J73" s="71"/>
      <c r="K73" s="71"/>
      <c r="L73" s="71"/>
      <c r="M73" s="71"/>
      <c r="N73" s="71"/>
      <c r="O73" s="71"/>
      <c r="P73" s="71"/>
      <c r="Q73" s="71"/>
      <c r="R73" s="71"/>
      <c r="S73" s="71"/>
      <c r="T73" s="71"/>
      <c r="U73" s="71"/>
      <c r="V73" s="71"/>
      <c r="W73" s="71"/>
      <c r="X73" s="71"/>
      <c r="Y73" s="71"/>
      <c r="Z73" s="71"/>
    </row>
    <row r="74" spans="2:26" ht="18.75" customHeight="1" x14ac:dyDescent="0.35">
      <c r="B74" s="1058"/>
      <c r="C74" s="14" t="s">
        <v>522</v>
      </c>
      <c r="D74" s="21">
        <v>0.69</v>
      </c>
      <c r="E74" s="21" t="s">
        <v>523</v>
      </c>
      <c r="F74" s="110" t="s">
        <v>524</v>
      </c>
      <c r="G74" s="95">
        <v>44562</v>
      </c>
      <c r="H74" s="98" t="s">
        <v>270</v>
      </c>
      <c r="I74" s="71"/>
      <c r="J74" s="71"/>
      <c r="K74" s="71"/>
      <c r="L74" s="71"/>
      <c r="M74" s="71"/>
      <c r="N74" s="71"/>
      <c r="O74" s="71"/>
      <c r="P74" s="71"/>
      <c r="Q74" s="71"/>
      <c r="R74" s="71"/>
      <c r="S74" s="71"/>
      <c r="T74" s="71"/>
      <c r="U74" s="71"/>
      <c r="V74" s="71"/>
      <c r="W74" s="71"/>
      <c r="X74" s="71"/>
      <c r="Y74" s="71"/>
      <c r="Z74" s="71"/>
    </row>
    <row r="75" spans="2:26" ht="18.75" customHeight="1" x14ac:dyDescent="0.35">
      <c r="B75" s="1058"/>
      <c r="C75" s="14" t="s">
        <v>527</v>
      </c>
      <c r="D75" s="21">
        <v>5</v>
      </c>
      <c r="E75" s="21" t="s">
        <v>505</v>
      </c>
      <c r="F75" s="118" t="s">
        <v>528</v>
      </c>
      <c r="G75" s="95">
        <v>44562</v>
      </c>
      <c r="H75" s="98" t="s">
        <v>270</v>
      </c>
      <c r="I75" s="71"/>
      <c r="J75" s="71"/>
      <c r="K75" s="71"/>
      <c r="L75" s="71"/>
      <c r="M75" s="71"/>
      <c r="N75" s="71"/>
      <c r="O75" s="71"/>
      <c r="P75" s="71"/>
      <c r="Q75" s="71"/>
      <c r="R75" s="71"/>
      <c r="S75" s="71"/>
      <c r="T75" s="71"/>
      <c r="U75" s="71"/>
      <c r="V75" s="71"/>
      <c r="W75" s="71"/>
      <c r="X75" s="71"/>
      <c r="Y75" s="71"/>
      <c r="Z75" s="71"/>
    </row>
    <row r="76" spans="2:26" ht="18.75" customHeight="1" x14ac:dyDescent="0.35">
      <c r="B76" s="1058"/>
      <c r="C76" s="14" t="s">
        <v>531</v>
      </c>
      <c r="D76" s="21">
        <v>1</v>
      </c>
      <c r="E76" s="21" t="s">
        <v>523</v>
      </c>
      <c r="F76" s="118" t="s">
        <v>532</v>
      </c>
      <c r="G76" s="95">
        <v>44562</v>
      </c>
      <c r="H76" s="98" t="s">
        <v>270</v>
      </c>
      <c r="I76" s="71"/>
      <c r="J76" s="71"/>
      <c r="K76" s="71"/>
      <c r="L76" s="71"/>
      <c r="M76" s="71"/>
      <c r="N76" s="71"/>
      <c r="O76" s="71"/>
      <c r="P76" s="71"/>
      <c r="Q76" s="71"/>
      <c r="R76" s="71"/>
      <c r="S76" s="71"/>
      <c r="T76" s="71"/>
      <c r="U76" s="71"/>
      <c r="V76" s="71"/>
      <c r="W76" s="71"/>
      <c r="X76" s="71"/>
      <c r="Y76" s="71"/>
      <c r="Z76" s="71"/>
    </row>
    <row r="77" spans="2:26" ht="18.75" customHeight="1" x14ac:dyDescent="0.35">
      <c r="B77" s="1059"/>
      <c r="C77" s="68" t="s">
        <v>518</v>
      </c>
      <c r="D77" s="44">
        <v>0.15</v>
      </c>
      <c r="E77" s="44" t="s">
        <v>505</v>
      </c>
      <c r="F77" s="113" t="s">
        <v>519</v>
      </c>
      <c r="G77" s="96">
        <v>44562</v>
      </c>
      <c r="H77" s="99" t="s">
        <v>270</v>
      </c>
      <c r="I77" s="71"/>
      <c r="J77" s="71"/>
      <c r="K77" s="71"/>
      <c r="L77" s="71"/>
      <c r="M77" s="71"/>
      <c r="N77" s="71"/>
      <c r="O77" s="71"/>
      <c r="P77" s="71"/>
      <c r="Q77" s="71"/>
      <c r="R77" s="71"/>
      <c r="S77" s="71"/>
      <c r="T77" s="71"/>
      <c r="U77" s="71"/>
      <c r="V77" s="71"/>
      <c r="W77" s="71"/>
      <c r="X77" s="71"/>
      <c r="Y77" s="71"/>
      <c r="Z77" s="71"/>
    </row>
    <row r="78" spans="2:26" ht="15" customHeight="1" x14ac:dyDescent="0.35">
      <c r="B78" s="1057" t="s">
        <v>102</v>
      </c>
      <c r="C78" s="73" t="s">
        <v>522</v>
      </c>
      <c r="D78" s="45">
        <v>0.69</v>
      </c>
      <c r="E78" s="45" t="s">
        <v>523</v>
      </c>
      <c r="F78" s="112" t="s">
        <v>524</v>
      </c>
      <c r="G78" s="97">
        <v>44562</v>
      </c>
      <c r="H78" s="100" t="s">
        <v>270</v>
      </c>
    </row>
    <row r="79" spans="2:26" ht="15" customHeight="1" x14ac:dyDescent="0.35">
      <c r="B79" s="1058"/>
      <c r="C79" s="14" t="s">
        <v>533</v>
      </c>
      <c r="D79" s="21">
        <v>2.5000000000000001E-2</v>
      </c>
      <c r="E79" s="21" t="s">
        <v>534</v>
      </c>
      <c r="F79" s="110" t="s">
        <v>535</v>
      </c>
      <c r="G79" s="95">
        <v>44562</v>
      </c>
      <c r="H79" s="98" t="s">
        <v>270</v>
      </c>
    </row>
    <row r="80" spans="2:26" ht="15" customHeight="1" x14ac:dyDescent="0.35">
      <c r="B80" s="1058"/>
      <c r="C80" s="14" t="s">
        <v>536</v>
      </c>
      <c r="D80" s="21">
        <v>0.38</v>
      </c>
      <c r="E80" s="21" t="s">
        <v>505</v>
      </c>
      <c r="F80" s="110" t="s">
        <v>537</v>
      </c>
      <c r="G80" s="95">
        <v>44562</v>
      </c>
      <c r="H80" s="98" t="s">
        <v>270</v>
      </c>
    </row>
    <row r="81" spans="2:8" ht="15" customHeight="1" x14ac:dyDescent="0.35">
      <c r="B81" s="1058"/>
      <c r="C81" s="14" t="s">
        <v>538</v>
      </c>
      <c r="D81" s="21">
        <v>2.0830000000000002E-3</v>
      </c>
      <c r="E81" s="21" t="s">
        <v>534</v>
      </c>
      <c r="F81" s="110" t="s">
        <v>517</v>
      </c>
      <c r="G81" s="95">
        <v>44562</v>
      </c>
      <c r="H81" s="98" t="s">
        <v>270</v>
      </c>
    </row>
    <row r="82" spans="2:8" ht="15" customHeight="1" x14ac:dyDescent="0.35">
      <c r="B82" s="1059"/>
      <c r="C82" s="68" t="s">
        <v>518</v>
      </c>
      <c r="D82" s="44">
        <v>0.15</v>
      </c>
      <c r="E82" s="44" t="s">
        <v>505</v>
      </c>
      <c r="F82" s="113" t="s">
        <v>519</v>
      </c>
      <c r="G82" s="96">
        <v>44562</v>
      </c>
      <c r="H82" s="99" t="s">
        <v>270</v>
      </c>
    </row>
    <row r="83" spans="2:8" ht="15" customHeight="1" x14ac:dyDescent="0.35">
      <c r="B83" s="1057" t="s">
        <v>539</v>
      </c>
      <c r="C83" s="73" t="s">
        <v>527</v>
      </c>
      <c r="D83" s="45">
        <v>5</v>
      </c>
      <c r="E83" s="45" t="s">
        <v>505</v>
      </c>
      <c r="F83" s="112" t="s">
        <v>528</v>
      </c>
      <c r="G83" s="97">
        <v>44562</v>
      </c>
      <c r="H83" s="100" t="s">
        <v>270</v>
      </c>
    </row>
    <row r="84" spans="2:8" ht="18.75" customHeight="1" x14ac:dyDescent="0.35">
      <c r="B84" s="1058"/>
      <c r="C84" s="14" t="s">
        <v>518</v>
      </c>
      <c r="D84" s="21">
        <v>0.1</v>
      </c>
      <c r="E84" s="21" t="s">
        <v>505</v>
      </c>
      <c r="F84" s="110" t="s">
        <v>519</v>
      </c>
      <c r="G84" s="95">
        <v>44562</v>
      </c>
      <c r="H84" s="98" t="s">
        <v>270</v>
      </c>
    </row>
    <row r="85" spans="2:8" ht="18.75" customHeight="1" x14ac:dyDescent="0.35">
      <c r="B85" s="1058"/>
      <c r="C85" s="14" t="s">
        <v>522</v>
      </c>
      <c r="D85" s="21">
        <v>0.69</v>
      </c>
      <c r="E85" s="21" t="s">
        <v>523</v>
      </c>
      <c r="F85" s="110" t="s">
        <v>524</v>
      </c>
      <c r="G85" s="95">
        <v>44562</v>
      </c>
      <c r="H85" s="98" t="s">
        <v>270</v>
      </c>
    </row>
    <row r="86" spans="2:8" ht="18.75" customHeight="1" x14ac:dyDescent="0.35">
      <c r="B86" s="1059"/>
      <c r="C86" s="68" t="s">
        <v>540</v>
      </c>
      <c r="D86" s="44">
        <v>50</v>
      </c>
      <c r="E86" s="44" t="s">
        <v>505</v>
      </c>
      <c r="F86" s="119" t="s">
        <v>541</v>
      </c>
      <c r="G86" s="96">
        <v>44562</v>
      </c>
      <c r="H86" s="99" t="s">
        <v>270</v>
      </c>
    </row>
    <row r="87" spans="2:8" ht="18.75" customHeight="1" x14ac:dyDescent="0.35">
      <c r="B87" s="1058" t="s">
        <v>542</v>
      </c>
      <c r="C87" s="14" t="s">
        <v>538</v>
      </c>
      <c r="D87" s="21">
        <v>9.0500000000000008E-3</v>
      </c>
      <c r="E87" s="21" t="s">
        <v>534</v>
      </c>
      <c r="F87" s="110" t="s">
        <v>517</v>
      </c>
      <c r="G87" s="95">
        <v>44562</v>
      </c>
      <c r="H87" s="100" t="s">
        <v>270</v>
      </c>
    </row>
    <row r="88" spans="2:8" ht="18.75" customHeight="1" x14ac:dyDescent="0.35">
      <c r="B88" s="1058"/>
      <c r="C88" s="14" t="s">
        <v>540</v>
      </c>
      <c r="D88" s="21">
        <v>50</v>
      </c>
      <c r="E88" s="21" t="s">
        <v>505</v>
      </c>
      <c r="F88" s="120" t="s">
        <v>541</v>
      </c>
      <c r="G88" s="95">
        <v>44562</v>
      </c>
      <c r="H88" s="98" t="s">
        <v>270</v>
      </c>
    </row>
    <row r="89" spans="2:8" ht="18.75" customHeight="1" x14ac:dyDescent="0.35">
      <c r="B89" s="1058"/>
      <c r="C89" s="14" t="s">
        <v>522</v>
      </c>
      <c r="D89" s="21">
        <v>0.69</v>
      </c>
      <c r="E89" s="21" t="s">
        <v>523</v>
      </c>
      <c r="F89" s="110" t="s">
        <v>524</v>
      </c>
      <c r="G89" s="95">
        <v>44562</v>
      </c>
      <c r="H89" s="98" t="s">
        <v>270</v>
      </c>
    </row>
    <row r="90" spans="2:8" ht="18.75" customHeight="1" x14ac:dyDescent="0.35">
      <c r="B90" s="1059"/>
      <c r="C90" s="68" t="s">
        <v>518</v>
      </c>
      <c r="D90" s="44">
        <v>0.2</v>
      </c>
      <c r="E90" s="44" t="s">
        <v>505</v>
      </c>
      <c r="F90" s="113" t="s">
        <v>519</v>
      </c>
      <c r="G90" s="96">
        <v>44562</v>
      </c>
      <c r="H90" s="99" t="s">
        <v>270</v>
      </c>
    </row>
    <row r="91" spans="2:8" ht="18.75" customHeight="1" x14ac:dyDescent="0.35">
      <c r="B91" s="1057" t="s">
        <v>543</v>
      </c>
      <c r="C91" s="73" t="s">
        <v>522</v>
      </c>
      <c r="D91" s="45">
        <v>0.69</v>
      </c>
      <c r="E91" s="45" t="s">
        <v>523</v>
      </c>
      <c r="F91" s="121" t="s">
        <v>524</v>
      </c>
      <c r="G91" s="97">
        <v>44562</v>
      </c>
      <c r="H91" s="100" t="s">
        <v>270</v>
      </c>
    </row>
    <row r="92" spans="2:8" ht="18.75" customHeight="1" x14ac:dyDescent="0.35">
      <c r="B92" s="1058"/>
      <c r="C92" s="14" t="s">
        <v>527</v>
      </c>
      <c r="D92" s="21">
        <v>5</v>
      </c>
      <c r="E92" s="21" t="s">
        <v>505</v>
      </c>
      <c r="F92" s="118" t="s">
        <v>528</v>
      </c>
      <c r="G92" s="95">
        <v>44562</v>
      </c>
      <c r="H92" s="98" t="s">
        <v>270</v>
      </c>
    </row>
    <row r="93" spans="2:8" ht="18.75" customHeight="1" x14ac:dyDescent="0.35">
      <c r="B93" s="1058"/>
      <c r="C93" s="14" t="s">
        <v>277</v>
      </c>
      <c r="D93" s="21">
        <v>1</v>
      </c>
      <c r="E93" s="21" t="s">
        <v>523</v>
      </c>
      <c r="F93" s="120" t="s">
        <v>544</v>
      </c>
      <c r="G93" s="71">
        <v>44562</v>
      </c>
      <c r="H93" s="98" t="s">
        <v>270</v>
      </c>
    </row>
    <row r="94" spans="2:8" ht="18.75" customHeight="1" x14ac:dyDescent="0.35">
      <c r="B94" s="1059"/>
      <c r="C94" s="68" t="s">
        <v>518</v>
      </c>
      <c r="D94" s="44">
        <v>0.2</v>
      </c>
      <c r="E94" s="44" t="s">
        <v>505</v>
      </c>
      <c r="F94" s="113" t="s">
        <v>519</v>
      </c>
      <c r="G94" s="96">
        <v>44562</v>
      </c>
      <c r="H94" s="99" t="s">
        <v>270</v>
      </c>
    </row>
    <row r="95" spans="2:8" ht="18.75" customHeight="1" x14ac:dyDescent="0.35">
      <c r="B95" s="1057" t="s">
        <v>545</v>
      </c>
      <c r="C95" s="73" t="s">
        <v>538</v>
      </c>
      <c r="D95" s="45">
        <v>9.0500000000000008E-3</v>
      </c>
      <c r="E95" s="45" t="s">
        <v>534</v>
      </c>
      <c r="F95" s="121" t="s">
        <v>517</v>
      </c>
      <c r="G95" s="97">
        <v>44562</v>
      </c>
      <c r="H95" s="98" t="s">
        <v>270</v>
      </c>
    </row>
    <row r="96" spans="2:8" ht="18.75" customHeight="1" x14ac:dyDescent="0.35">
      <c r="B96" s="1058"/>
      <c r="C96" s="14" t="s">
        <v>277</v>
      </c>
      <c r="D96" s="21">
        <v>1</v>
      </c>
      <c r="E96" s="21" t="s">
        <v>523</v>
      </c>
      <c r="F96" s="120" t="s">
        <v>544</v>
      </c>
      <c r="G96" s="71">
        <v>44562</v>
      </c>
      <c r="H96" s="98" t="s">
        <v>270</v>
      </c>
    </row>
    <row r="97" spans="1:96" ht="18.75" customHeight="1" x14ac:dyDescent="0.35">
      <c r="B97" s="1058"/>
      <c r="C97" s="14" t="s">
        <v>522</v>
      </c>
      <c r="D97" s="21">
        <v>0.69</v>
      </c>
      <c r="E97" s="21" t="s">
        <v>523</v>
      </c>
      <c r="F97" s="110" t="s">
        <v>524</v>
      </c>
      <c r="G97" s="95">
        <v>44562</v>
      </c>
      <c r="H97" s="98" t="s">
        <v>270</v>
      </c>
    </row>
    <row r="98" spans="1:96" ht="18.75" customHeight="1" x14ac:dyDescent="0.35">
      <c r="B98" s="1059"/>
      <c r="C98" s="68" t="s">
        <v>518</v>
      </c>
      <c r="D98" s="44">
        <v>0.2</v>
      </c>
      <c r="E98" s="44" t="s">
        <v>505</v>
      </c>
      <c r="F98" s="113" t="s">
        <v>519</v>
      </c>
      <c r="G98" s="96">
        <v>44562</v>
      </c>
      <c r="H98" s="98" t="s">
        <v>270</v>
      </c>
    </row>
    <row r="99" spans="1:96" ht="18.75" customHeight="1" x14ac:dyDescent="0.35">
      <c r="B99" s="1057" t="s">
        <v>278</v>
      </c>
      <c r="C99" s="14" t="s">
        <v>522</v>
      </c>
      <c r="D99" s="21">
        <v>0.69</v>
      </c>
      <c r="E99" s="21" t="s">
        <v>523</v>
      </c>
      <c r="F99" s="110" t="s">
        <v>524</v>
      </c>
      <c r="G99" s="95">
        <v>44562</v>
      </c>
      <c r="H99" s="100" t="s">
        <v>270</v>
      </c>
    </row>
    <row r="100" spans="1:96" ht="18.75" customHeight="1" x14ac:dyDescent="0.35">
      <c r="B100" s="1058"/>
      <c r="C100" s="14" t="s">
        <v>527</v>
      </c>
      <c r="D100" s="21">
        <v>5</v>
      </c>
      <c r="E100" s="21" t="s">
        <v>505</v>
      </c>
      <c r="F100" s="118" t="s">
        <v>528</v>
      </c>
      <c r="G100" s="95">
        <v>44562</v>
      </c>
      <c r="H100" s="98" t="s">
        <v>270</v>
      </c>
    </row>
    <row r="101" spans="1:96" ht="17.25" customHeight="1" x14ac:dyDescent="0.35">
      <c r="B101" s="1058"/>
      <c r="C101" s="14" t="s">
        <v>546</v>
      </c>
      <c r="D101" s="21">
        <v>0.5</v>
      </c>
      <c r="E101" s="21" t="s">
        <v>505</v>
      </c>
      <c r="F101" s="122" t="s">
        <v>547</v>
      </c>
      <c r="G101" s="95">
        <v>44562</v>
      </c>
      <c r="H101" s="98" t="s">
        <v>270</v>
      </c>
    </row>
    <row r="102" spans="1:96" ht="18.75" customHeight="1" x14ac:dyDescent="0.35">
      <c r="B102" s="1058"/>
      <c r="C102" s="14" t="s">
        <v>548</v>
      </c>
      <c r="D102" s="21">
        <v>1</v>
      </c>
      <c r="E102" s="21" t="s">
        <v>523</v>
      </c>
      <c r="F102" s="120" t="s">
        <v>549</v>
      </c>
      <c r="G102" s="95">
        <v>44562</v>
      </c>
      <c r="H102" s="98" t="s">
        <v>270</v>
      </c>
    </row>
    <row r="103" spans="1:96" ht="18.75" customHeight="1" x14ac:dyDescent="0.35">
      <c r="B103" s="1058"/>
      <c r="C103" s="14" t="s">
        <v>518</v>
      </c>
      <c r="D103" s="21">
        <v>0.2</v>
      </c>
      <c r="E103" s="21" t="s">
        <v>505</v>
      </c>
      <c r="F103" s="110" t="s">
        <v>519</v>
      </c>
      <c r="G103" s="95">
        <v>44562</v>
      </c>
      <c r="H103" s="98" t="s">
        <v>270</v>
      </c>
    </row>
    <row r="104" spans="1:96" ht="23.5" x14ac:dyDescent="0.55000000000000004">
      <c r="B104" s="29" t="s">
        <v>209</v>
      </c>
      <c r="C104" s="18"/>
      <c r="D104" s="18"/>
      <c r="E104" s="18"/>
      <c r="F104" s="18"/>
      <c r="G104" s="18"/>
      <c r="H104" s="18"/>
      <c r="I104" s="20"/>
      <c r="J104" s="21"/>
      <c r="K104" s="21"/>
      <c r="L104" s="21"/>
      <c r="W104" s="38"/>
      <c r="X104" s="39"/>
    </row>
    <row r="105" spans="1:96" x14ac:dyDescent="0.35">
      <c r="B105" s="28"/>
      <c r="C105" s="18"/>
      <c r="D105" s="18"/>
      <c r="E105" s="18"/>
      <c r="F105" s="18"/>
      <c r="G105" s="18"/>
      <c r="H105" s="18"/>
      <c r="I105" s="20"/>
      <c r="J105" s="21"/>
      <c r="K105" s="21"/>
      <c r="L105" s="21"/>
      <c r="W105" s="38"/>
      <c r="X105" s="39"/>
    </row>
    <row r="106" spans="1:96" ht="23.25" customHeight="1" x14ac:dyDescent="0.35">
      <c r="B106" s="34" t="s">
        <v>105</v>
      </c>
      <c r="C106" s="40" t="s">
        <v>550</v>
      </c>
      <c r="D106" s="41">
        <v>0.3</v>
      </c>
      <c r="E106" s="41" t="s">
        <v>534</v>
      </c>
      <c r="F106" s="115" t="s">
        <v>551</v>
      </c>
      <c r="G106" s="48">
        <v>44562</v>
      </c>
      <c r="H106" s="98" t="s">
        <v>270</v>
      </c>
    </row>
    <row r="107" spans="1:96" ht="26.25" customHeight="1" x14ac:dyDescent="0.35">
      <c r="B107" s="34" t="s">
        <v>106</v>
      </c>
      <c r="C107" s="40" t="s">
        <v>552</v>
      </c>
      <c r="D107" s="41">
        <v>0.3</v>
      </c>
      <c r="E107" s="41" t="s">
        <v>502</v>
      </c>
      <c r="F107" s="115" t="s">
        <v>553</v>
      </c>
      <c r="G107" s="48">
        <v>44562</v>
      </c>
      <c r="H107" s="101" t="s">
        <v>270</v>
      </c>
    </row>
    <row r="108" spans="1:96" ht="24.75" customHeight="1" x14ac:dyDescent="0.35">
      <c r="B108" s="34" t="s">
        <v>285</v>
      </c>
      <c r="C108" s="40" t="s">
        <v>554</v>
      </c>
      <c r="D108" s="41">
        <v>0.3</v>
      </c>
      <c r="E108" s="41" t="s">
        <v>502</v>
      </c>
      <c r="F108" s="115" t="s">
        <v>555</v>
      </c>
      <c r="G108" s="48">
        <v>44562</v>
      </c>
      <c r="H108" s="101" t="s">
        <v>270</v>
      </c>
    </row>
    <row r="109" spans="1:96" ht="27" customHeight="1" x14ac:dyDescent="0.35">
      <c r="B109" s="34" t="s">
        <v>406</v>
      </c>
      <c r="C109" s="40" t="s">
        <v>556</v>
      </c>
      <c r="D109" s="41">
        <v>0.3</v>
      </c>
      <c r="E109" s="41" t="s">
        <v>502</v>
      </c>
      <c r="F109" s="115" t="s">
        <v>557</v>
      </c>
      <c r="G109" s="48">
        <v>44562</v>
      </c>
      <c r="H109" s="101" t="s">
        <v>270</v>
      </c>
    </row>
    <row r="110" spans="1:96" ht="25.5" customHeight="1" x14ac:dyDescent="0.35">
      <c r="B110" s="34" t="s">
        <v>286</v>
      </c>
      <c r="C110" s="40" t="s">
        <v>558</v>
      </c>
      <c r="D110" s="41">
        <v>0.3</v>
      </c>
      <c r="E110" s="41" t="s">
        <v>502</v>
      </c>
      <c r="F110" s="115" t="s">
        <v>559</v>
      </c>
      <c r="G110" s="48">
        <v>43831</v>
      </c>
      <c r="H110" s="101" t="s">
        <v>270</v>
      </c>
    </row>
    <row r="111" spans="1:96" ht="26.25" customHeight="1" x14ac:dyDescent="0.35">
      <c r="B111" s="12" t="s">
        <v>287</v>
      </c>
      <c r="C111" s="35" t="s">
        <v>560</v>
      </c>
      <c r="D111" s="36">
        <v>0.3</v>
      </c>
      <c r="E111" s="36" t="s">
        <v>502</v>
      </c>
      <c r="F111" s="123" t="s">
        <v>561</v>
      </c>
      <c r="G111" s="49">
        <v>44562</v>
      </c>
      <c r="H111" s="98" t="s">
        <v>270</v>
      </c>
    </row>
    <row r="112" spans="1:96" customFormat="1" ht="23.5" x14ac:dyDescent="0.35">
      <c r="A112" s="14"/>
      <c r="B112" s="30" t="s">
        <v>562</v>
      </c>
      <c r="C112" s="18"/>
      <c r="D112" s="18"/>
      <c r="E112" s="18"/>
      <c r="F112" s="18"/>
      <c r="G112" s="18"/>
      <c r="H112" s="18"/>
      <c r="I112" s="21"/>
      <c r="J112" s="21"/>
      <c r="K112" s="21"/>
      <c r="L112" s="21"/>
      <c r="M112" s="21"/>
      <c r="N112" s="21"/>
      <c r="O112" s="21"/>
      <c r="P112" s="21"/>
      <c r="Q112" s="21"/>
      <c r="R112" s="21"/>
      <c r="S112" s="21"/>
      <c r="T112" s="21"/>
      <c r="U112" s="21"/>
      <c r="V112" s="21"/>
      <c r="W112" s="21"/>
      <c r="X112" s="21"/>
      <c r="Y112" s="21"/>
      <c r="Z112" s="21"/>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row>
    <row r="113" spans="1:96" customFormat="1" x14ac:dyDescent="0.35">
      <c r="A113" s="14"/>
      <c r="B113" s="32" t="s">
        <v>103</v>
      </c>
      <c r="C113" s="18"/>
      <c r="D113" s="18"/>
      <c r="E113" s="18"/>
      <c r="F113" s="18"/>
      <c r="G113" s="18"/>
      <c r="H113" s="18"/>
      <c r="I113" s="21"/>
      <c r="J113" s="21"/>
      <c r="K113" s="21"/>
      <c r="L113" s="21"/>
      <c r="M113" s="21"/>
      <c r="N113" s="21"/>
      <c r="O113" s="21"/>
      <c r="P113" s="21"/>
      <c r="Q113" s="21"/>
      <c r="R113" s="21"/>
      <c r="S113" s="21"/>
      <c r="T113" s="21"/>
      <c r="U113" s="21"/>
      <c r="V113" s="21"/>
      <c r="W113" s="21"/>
      <c r="X113" s="21"/>
      <c r="Y113" s="21"/>
      <c r="Z113" s="21"/>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row>
    <row r="114" spans="1:96" customFormat="1" ht="14.9" customHeight="1" x14ac:dyDescent="0.35">
      <c r="A114" s="14"/>
      <c r="B114" s="34" t="s">
        <v>101</v>
      </c>
      <c r="C114" s="46" t="s">
        <v>512</v>
      </c>
      <c r="D114" s="41">
        <v>0.18</v>
      </c>
      <c r="E114" s="41" t="s">
        <v>513</v>
      </c>
      <c r="F114" s="115" t="s">
        <v>514</v>
      </c>
      <c r="G114" s="48">
        <v>44927</v>
      </c>
      <c r="H114" s="21" t="s">
        <v>270</v>
      </c>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row>
    <row r="115" spans="1:96" customFormat="1" ht="16.5" x14ac:dyDescent="0.35">
      <c r="A115" s="14"/>
      <c r="B115" s="1058" t="s">
        <v>298</v>
      </c>
      <c r="C115" s="14" t="s">
        <v>563</v>
      </c>
      <c r="D115" s="21">
        <v>6.23</v>
      </c>
      <c r="E115" s="21" t="s">
        <v>505</v>
      </c>
      <c r="F115" s="124" t="s">
        <v>564</v>
      </c>
      <c r="G115" s="71">
        <v>44927</v>
      </c>
      <c r="H115" s="45" t="s">
        <v>270</v>
      </c>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row>
    <row r="116" spans="1:96" customFormat="1" ht="16.5" x14ac:dyDescent="0.35">
      <c r="A116" s="14"/>
      <c r="B116" s="1058"/>
      <c r="C116" s="14" t="s">
        <v>565</v>
      </c>
      <c r="D116" s="21">
        <v>0.2</v>
      </c>
      <c r="E116" s="21" t="s">
        <v>505</v>
      </c>
      <c r="F116" s="124" t="s">
        <v>566</v>
      </c>
      <c r="G116" s="71">
        <v>44562</v>
      </c>
      <c r="H116" s="21" t="s">
        <v>270</v>
      </c>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row>
    <row r="117" spans="1:96" customFormat="1" ht="16.5" x14ac:dyDescent="0.35">
      <c r="A117" s="14"/>
      <c r="B117" s="1059"/>
      <c r="C117" s="68" t="s">
        <v>518</v>
      </c>
      <c r="D117" s="44">
        <v>0.2</v>
      </c>
      <c r="E117" s="44" t="s">
        <v>505</v>
      </c>
      <c r="F117" s="113" t="s">
        <v>519</v>
      </c>
      <c r="G117" s="96">
        <v>44562</v>
      </c>
      <c r="H117" s="44" t="s">
        <v>270</v>
      </c>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row>
    <row r="118" spans="1:96" customFormat="1" ht="16.5" x14ac:dyDescent="0.35">
      <c r="A118" s="14"/>
      <c r="B118" s="1058" t="s">
        <v>107</v>
      </c>
      <c r="C118" s="73" t="s">
        <v>538</v>
      </c>
      <c r="D118" s="45">
        <v>12.75</v>
      </c>
      <c r="E118" s="21" t="s">
        <v>505</v>
      </c>
      <c r="F118" s="121" t="s">
        <v>517</v>
      </c>
      <c r="G118" s="97">
        <v>44562</v>
      </c>
      <c r="H118" s="45" t="s">
        <v>270</v>
      </c>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row>
    <row r="119" spans="1:96" customFormat="1" ht="16.5" x14ac:dyDescent="0.35">
      <c r="A119" s="14"/>
      <c r="B119" s="1059"/>
      <c r="C119" s="68" t="s">
        <v>518</v>
      </c>
      <c r="D119" s="44">
        <v>0.05</v>
      </c>
      <c r="E119" s="44" t="s">
        <v>505</v>
      </c>
      <c r="F119" s="113" t="s">
        <v>519</v>
      </c>
      <c r="G119" s="96">
        <v>44562</v>
      </c>
      <c r="H119" s="44" t="s">
        <v>270</v>
      </c>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row>
    <row r="120" spans="1:96" customFormat="1" ht="18.5" x14ac:dyDescent="0.35">
      <c r="A120" s="14"/>
      <c r="B120" s="52" t="s">
        <v>299</v>
      </c>
      <c r="C120" s="68" t="s">
        <v>567</v>
      </c>
      <c r="D120" s="44">
        <v>0.2</v>
      </c>
      <c r="E120" s="41" t="s">
        <v>513</v>
      </c>
      <c r="F120" s="119" t="s">
        <v>568</v>
      </c>
      <c r="G120" s="72">
        <v>44562</v>
      </c>
      <c r="H120" s="21" t="s">
        <v>270</v>
      </c>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row>
    <row r="121" spans="1:96" customFormat="1" ht="16.5" x14ac:dyDescent="0.35">
      <c r="A121" s="14"/>
      <c r="B121" s="1057" t="s">
        <v>271</v>
      </c>
      <c r="C121" s="73" t="s">
        <v>501</v>
      </c>
      <c r="D121" s="45">
        <v>0.108</v>
      </c>
      <c r="E121" s="45" t="s">
        <v>502</v>
      </c>
      <c r="F121" s="121" t="s">
        <v>503</v>
      </c>
      <c r="G121" s="97">
        <v>44562</v>
      </c>
      <c r="H121" s="45" t="s">
        <v>270</v>
      </c>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row>
    <row r="122" spans="1:96" customFormat="1" ht="16.5" x14ac:dyDescent="0.35">
      <c r="A122" s="14"/>
      <c r="B122" s="1059"/>
      <c r="C122" s="68" t="s">
        <v>504</v>
      </c>
      <c r="D122" s="44">
        <v>12.096</v>
      </c>
      <c r="E122" s="44" t="s">
        <v>505</v>
      </c>
      <c r="F122" s="111" t="s">
        <v>506</v>
      </c>
      <c r="G122" s="96">
        <v>44562</v>
      </c>
      <c r="H122" s="44" t="s">
        <v>270</v>
      </c>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row>
    <row r="123" spans="1:96" customFormat="1" ht="16.5" x14ac:dyDescent="0.35">
      <c r="A123" s="14"/>
      <c r="B123" s="1057" t="s">
        <v>300</v>
      </c>
      <c r="C123" s="73" t="s">
        <v>569</v>
      </c>
      <c r="D123" s="45">
        <v>115</v>
      </c>
      <c r="E123" s="21" t="s">
        <v>505</v>
      </c>
      <c r="F123" s="125" t="s">
        <v>570</v>
      </c>
      <c r="G123" s="97">
        <v>44562</v>
      </c>
      <c r="H123" s="45" t="s">
        <v>270</v>
      </c>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row>
    <row r="124" spans="1:96" customFormat="1" ht="16.5" x14ac:dyDescent="0.35">
      <c r="A124" s="14"/>
      <c r="B124" s="1059"/>
      <c r="C124" s="68" t="s">
        <v>504</v>
      </c>
      <c r="D124" s="44">
        <v>4.8</v>
      </c>
      <c r="E124" s="44" t="s">
        <v>505</v>
      </c>
      <c r="F124" s="126" t="s">
        <v>506</v>
      </c>
      <c r="G124" s="96">
        <v>43831</v>
      </c>
      <c r="H124" s="44" t="s">
        <v>270</v>
      </c>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row>
    <row r="125" spans="1:96" customFormat="1" ht="16.5" x14ac:dyDescent="0.35">
      <c r="A125" s="14"/>
      <c r="B125" s="1058" t="s">
        <v>272</v>
      </c>
      <c r="C125" s="14" t="s">
        <v>507</v>
      </c>
      <c r="D125" s="21">
        <v>194.4</v>
      </c>
      <c r="E125" s="21" t="s">
        <v>505</v>
      </c>
      <c r="F125" s="118" t="s">
        <v>508</v>
      </c>
      <c r="G125" s="95">
        <v>44562</v>
      </c>
      <c r="H125" s="36" t="s">
        <v>288</v>
      </c>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row>
    <row r="126" spans="1:96" customFormat="1" ht="16.5" x14ac:dyDescent="0.35">
      <c r="A126" s="14"/>
      <c r="B126" s="1058"/>
      <c r="C126" s="14" t="s">
        <v>504</v>
      </c>
      <c r="D126" s="21">
        <v>12.096</v>
      </c>
      <c r="E126" s="21" t="s">
        <v>505</v>
      </c>
      <c r="F126" s="110" t="s">
        <v>506</v>
      </c>
      <c r="G126" s="95">
        <v>44562</v>
      </c>
      <c r="H126" s="21" t="s">
        <v>270</v>
      </c>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row>
    <row r="127" spans="1:96" customFormat="1" ht="23.5" x14ac:dyDescent="0.55000000000000004">
      <c r="A127" s="14"/>
      <c r="B127" s="29" t="s">
        <v>301</v>
      </c>
      <c r="C127" s="29"/>
      <c r="D127" s="29"/>
      <c r="E127" s="29"/>
      <c r="F127" s="29"/>
      <c r="G127" s="29"/>
      <c r="H127" s="70"/>
      <c r="I127" s="88"/>
      <c r="J127" s="88"/>
      <c r="K127" s="88"/>
      <c r="L127" s="88"/>
      <c r="M127" s="88"/>
      <c r="N127" s="88"/>
      <c r="O127" s="88"/>
      <c r="P127" s="88"/>
      <c r="Q127" s="88"/>
      <c r="R127" s="88"/>
      <c r="S127" s="88"/>
      <c r="T127" s="88"/>
      <c r="U127" s="88"/>
      <c r="V127" s="88"/>
      <c r="W127" s="88"/>
      <c r="X127" s="88"/>
      <c r="Y127" s="88"/>
      <c r="Z127" s="88"/>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row>
    <row r="128" spans="1:96" customFormat="1" x14ac:dyDescent="0.35">
      <c r="A128" s="14"/>
      <c r="B128" s="32" t="s">
        <v>103</v>
      </c>
      <c r="C128" s="32"/>
      <c r="D128" s="32"/>
      <c r="E128" s="32"/>
      <c r="F128" s="32"/>
      <c r="G128" s="32"/>
      <c r="H128" s="33"/>
      <c r="I128" s="38"/>
      <c r="J128" s="38"/>
      <c r="K128" s="38"/>
      <c r="L128" s="38"/>
      <c r="M128" s="38"/>
      <c r="N128" s="38"/>
      <c r="O128" s="38"/>
      <c r="P128" s="38"/>
      <c r="Q128" s="38"/>
      <c r="R128" s="38"/>
      <c r="S128" s="38"/>
      <c r="T128" s="38"/>
      <c r="U128" s="38"/>
      <c r="V128" s="38"/>
      <c r="W128" s="38"/>
      <c r="X128" s="38"/>
      <c r="Y128" s="38"/>
      <c r="Z128" s="38"/>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row>
    <row r="129" spans="2:8" ht="16.5" x14ac:dyDescent="0.35">
      <c r="B129" s="1058" t="s">
        <v>108</v>
      </c>
      <c r="C129" s="14" t="s">
        <v>571</v>
      </c>
      <c r="D129" s="14">
        <v>0.38</v>
      </c>
      <c r="E129" s="21" t="s">
        <v>505</v>
      </c>
      <c r="F129" s="124" t="s">
        <v>572</v>
      </c>
      <c r="G129" s="53">
        <v>44562</v>
      </c>
      <c r="H129" s="6" t="s">
        <v>270</v>
      </c>
    </row>
    <row r="130" spans="2:8" ht="16.5" x14ac:dyDescent="0.35">
      <c r="B130" s="1058"/>
      <c r="C130" s="14" t="s">
        <v>573</v>
      </c>
      <c r="D130" s="14">
        <v>0.19</v>
      </c>
      <c r="E130" s="21" t="s">
        <v>505</v>
      </c>
      <c r="F130" s="124" t="s">
        <v>574</v>
      </c>
      <c r="G130" s="53">
        <v>44562</v>
      </c>
      <c r="H130" s="6" t="s">
        <v>270</v>
      </c>
    </row>
    <row r="131" spans="2:8" ht="16.5" x14ac:dyDescent="0.35">
      <c r="B131" s="1058"/>
      <c r="C131" s="14" t="s">
        <v>518</v>
      </c>
      <c r="D131" s="14">
        <v>0.05</v>
      </c>
      <c r="E131" s="21" t="s">
        <v>505</v>
      </c>
      <c r="F131" s="110" t="s">
        <v>519</v>
      </c>
      <c r="G131" s="54">
        <v>44562</v>
      </c>
      <c r="H131" s="6" t="s">
        <v>270</v>
      </c>
    </row>
    <row r="132" spans="2:8" ht="16.5" x14ac:dyDescent="0.35">
      <c r="B132" s="1059"/>
      <c r="C132" s="68" t="s">
        <v>575</v>
      </c>
      <c r="D132" s="68">
        <v>2</v>
      </c>
      <c r="E132" s="44" t="s">
        <v>523</v>
      </c>
      <c r="F132" s="119" t="s">
        <v>576</v>
      </c>
      <c r="G132" s="72">
        <v>44562</v>
      </c>
      <c r="H132" s="44" t="s">
        <v>270</v>
      </c>
    </row>
    <row r="133" spans="2:8" ht="16.5" x14ac:dyDescent="0.35">
      <c r="B133" s="1057" t="s">
        <v>356</v>
      </c>
      <c r="C133" s="73" t="s">
        <v>527</v>
      </c>
      <c r="D133" s="73">
        <v>0.5</v>
      </c>
      <c r="E133" s="6" t="s">
        <v>577</v>
      </c>
      <c r="F133" s="124" t="s">
        <v>578</v>
      </c>
      <c r="G133" s="53">
        <v>44562</v>
      </c>
      <c r="H133" s="62" t="s">
        <v>270</v>
      </c>
    </row>
    <row r="134" spans="2:8" ht="16.5" x14ac:dyDescent="0.35">
      <c r="B134" s="1058"/>
      <c r="C134" s="14" t="s">
        <v>579</v>
      </c>
      <c r="D134" s="14">
        <v>0.03</v>
      </c>
      <c r="E134" s="6" t="s">
        <v>577</v>
      </c>
      <c r="F134" s="124" t="s">
        <v>580</v>
      </c>
      <c r="G134" s="53">
        <v>44562</v>
      </c>
      <c r="H134" s="6" t="s">
        <v>270</v>
      </c>
    </row>
    <row r="135" spans="2:8" ht="16.5" x14ac:dyDescent="0.35">
      <c r="B135" s="1058"/>
      <c r="C135" s="14" t="s">
        <v>581</v>
      </c>
      <c r="D135" s="14">
        <v>5.67</v>
      </c>
      <c r="E135" s="6" t="s">
        <v>582</v>
      </c>
      <c r="F135" s="127" t="s">
        <v>583</v>
      </c>
      <c r="G135" s="53">
        <v>44562</v>
      </c>
      <c r="H135" s="6" t="s">
        <v>270</v>
      </c>
    </row>
    <row r="136" spans="2:8" ht="16.5" x14ac:dyDescent="0.35">
      <c r="B136" s="1059"/>
      <c r="C136" s="68" t="s">
        <v>518</v>
      </c>
      <c r="D136" s="68">
        <v>0.05</v>
      </c>
      <c r="E136" s="59" t="s">
        <v>577</v>
      </c>
      <c r="F136" s="113" t="s">
        <v>519</v>
      </c>
      <c r="G136" s="58">
        <v>44562</v>
      </c>
      <c r="H136" s="59" t="s">
        <v>270</v>
      </c>
    </row>
    <row r="137" spans="2:8" ht="16.5" x14ac:dyDescent="0.35">
      <c r="B137" s="1057" t="s">
        <v>303</v>
      </c>
      <c r="C137" s="73" t="s">
        <v>571</v>
      </c>
      <c r="D137" s="73">
        <v>0.38</v>
      </c>
      <c r="E137" s="45" t="s">
        <v>505</v>
      </c>
      <c r="F137" s="125" t="s">
        <v>572</v>
      </c>
      <c r="G137" s="60">
        <v>44562</v>
      </c>
      <c r="H137" s="45" t="s">
        <v>270</v>
      </c>
    </row>
    <row r="138" spans="2:8" ht="16.5" x14ac:dyDescent="0.35">
      <c r="B138" s="1058"/>
      <c r="C138" s="14" t="s">
        <v>573</v>
      </c>
      <c r="D138" s="14">
        <v>0.19</v>
      </c>
      <c r="E138" s="21" t="s">
        <v>505</v>
      </c>
      <c r="F138" s="124" t="s">
        <v>574</v>
      </c>
      <c r="G138" s="53">
        <v>44562</v>
      </c>
      <c r="H138" s="21" t="s">
        <v>270</v>
      </c>
    </row>
    <row r="139" spans="2:8" ht="16.5" x14ac:dyDescent="0.35">
      <c r="B139" s="1058"/>
      <c r="C139" s="14" t="s">
        <v>518</v>
      </c>
      <c r="D139" s="14">
        <v>0.05</v>
      </c>
      <c r="E139" s="21" t="s">
        <v>505</v>
      </c>
      <c r="F139" s="110" t="s">
        <v>519</v>
      </c>
      <c r="G139" s="54">
        <v>44562</v>
      </c>
      <c r="H139" s="21" t="s">
        <v>270</v>
      </c>
    </row>
    <row r="140" spans="2:8" ht="16.5" x14ac:dyDescent="0.35">
      <c r="B140" s="1058"/>
      <c r="C140" s="14" t="s">
        <v>575</v>
      </c>
      <c r="D140" s="14">
        <v>1</v>
      </c>
      <c r="E140" s="21" t="s">
        <v>523</v>
      </c>
      <c r="F140" s="120" t="s">
        <v>584</v>
      </c>
      <c r="G140" s="54">
        <v>44562</v>
      </c>
      <c r="H140" s="21" t="s">
        <v>270</v>
      </c>
    </row>
    <row r="141" spans="2:8" ht="19.5" customHeight="1" x14ac:dyDescent="0.35">
      <c r="B141" s="1057" t="s">
        <v>109</v>
      </c>
      <c r="C141" s="73" t="s">
        <v>585</v>
      </c>
      <c r="D141" s="73">
        <v>0.19</v>
      </c>
      <c r="E141" s="45" t="s">
        <v>505</v>
      </c>
      <c r="F141" s="125" t="s">
        <v>574</v>
      </c>
      <c r="G141" s="61">
        <v>44562</v>
      </c>
      <c r="H141" s="45" t="s">
        <v>270</v>
      </c>
    </row>
    <row r="142" spans="2:8" ht="16.5" customHeight="1" x14ac:dyDescent="0.35">
      <c r="B142" s="1058"/>
      <c r="C142" s="14" t="s">
        <v>586</v>
      </c>
      <c r="D142" s="14">
        <v>1.2E-2</v>
      </c>
      <c r="E142" s="36" t="s">
        <v>513</v>
      </c>
      <c r="F142" s="124" t="s">
        <v>587</v>
      </c>
      <c r="G142" s="54">
        <v>44562</v>
      </c>
      <c r="H142" s="21" t="s">
        <v>270</v>
      </c>
    </row>
    <row r="143" spans="2:8" ht="16.5" x14ac:dyDescent="0.35">
      <c r="B143" s="1059"/>
      <c r="C143" s="68" t="s">
        <v>518</v>
      </c>
      <c r="D143" s="68">
        <v>0.1</v>
      </c>
      <c r="E143" s="44" t="s">
        <v>505</v>
      </c>
      <c r="F143" s="113" t="s">
        <v>519</v>
      </c>
      <c r="G143" s="58">
        <v>44562</v>
      </c>
      <c r="H143" s="44" t="s">
        <v>270</v>
      </c>
    </row>
    <row r="144" spans="2:8" x14ac:dyDescent="0.35">
      <c r="B144" s="1057" t="s">
        <v>304</v>
      </c>
      <c r="C144" s="73" t="s">
        <v>538</v>
      </c>
      <c r="D144" s="73">
        <v>2.0999999999999999E-3</v>
      </c>
      <c r="E144" s="36" t="s">
        <v>513</v>
      </c>
      <c r="F144" s="121" t="s">
        <v>517</v>
      </c>
      <c r="G144" s="97">
        <v>44562</v>
      </c>
      <c r="H144" s="45" t="s">
        <v>270</v>
      </c>
    </row>
    <row r="145" spans="1:96" ht="16.5" x14ac:dyDescent="0.35">
      <c r="B145" s="1058"/>
      <c r="C145" s="14" t="s">
        <v>588</v>
      </c>
      <c r="D145" s="14">
        <v>0.45</v>
      </c>
      <c r="E145" s="21" t="s">
        <v>505</v>
      </c>
      <c r="F145" s="124" t="s">
        <v>589</v>
      </c>
      <c r="G145" s="71">
        <v>44562</v>
      </c>
      <c r="H145" s="21" t="s">
        <v>270</v>
      </c>
    </row>
    <row r="146" spans="1:96" ht="16.5" x14ac:dyDescent="0.35">
      <c r="B146" s="1058"/>
      <c r="C146" s="14" t="s">
        <v>590</v>
      </c>
      <c r="D146" s="14">
        <v>2.2499999999999999E-2</v>
      </c>
      <c r="E146" s="21" t="s">
        <v>502</v>
      </c>
      <c r="F146" s="124" t="s">
        <v>591</v>
      </c>
      <c r="G146" s="53">
        <v>44562</v>
      </c>
      <c r="H146" s="6" t="s">
        <v>270</v>
      </c>
    </row>
    <row r="147" spans="1:96" ht="16.5" x14ac:dyDescent="0.35">
      <c r="B147" s="1059"/>
      <c r="C147" s="68" t="s">
        <v>518</v>
      </c>
      <c r="D147" s="68">
        <v>0.1</v>
      </c>
      <c r="E147" s="59" t="s">
        <v>577</v>
      </c>
      <c r="F147" s="113" t="s">
        <v>519</v>
      </c>
      <c r="G147" s="58">
        <v>44562</v>
      </c>
      <c r="H147" s="59" t="s">
        <v>270</v>
      </c>
    </row>
    <row r="148" spans="1:96" ht="18.75" customHeight="1" x14ac:dyDescent="0.35">
      <c r="B148" s="1058" t="s">
        <v>305</v>
      </c>
      <c r="C148" s="14" t="s">
        <v>592</v>
      </c>
      <c r="D148" s="73">
        <v>0.38</v>
      </c>
      <c r="E148" s="45" t="s">
        <v>505</v>
      </c>
      <c r="F148" s="125" t="s">
        <v>572</v>
      </c>
      <c r="G148" s="60">
        <v>44562</v>
      </c>
      <c r="H148" s="21" t="s">
        <v>270</v>
      </c>
    </row>
    <row r="149" spans="1:96" ht="16.5" x14ac:dyDescent="0.35">
      <c r="B149" s="1058"/>
      <c r="C149" s="14" t="s">
        <v>585</v>
      </c>
      <c r="D149" s="14">
        <v>0.19</v>
      </c>
      <c r="E149" s="21" t="s">
        <v>505</v>
      </c>
      <c r="F149" s="124" t="s">
        <v>574</v>
      </c>
      <c r="G149" s="53">
        <v>44562</v>
      </c>
      <c r="H149" s="21" t="s">
        <v>270</v>
      </c>
    </row>
    <row r="150" spans="1:96" ht="16.5" x14ac:dyDescent="0.35">
      <c r="B150" s="1058"/>
      <c r="C150" s="14" t="s">
        <v>593</v>
      </c>
      <c r="D150" s="14">
        <v>8.5</v>
      </c>
      <c r="E150" s="21" t="s">
        <v>505</v>
      </c>
      <c r="F150" s="122" t="s">
        <v>594</v>
      </c>
      <c r="G150" s="53">
        <v>44562</v>
      </c>
      <c r="H150" s="21" t="s">
        <v>270</v>
      </c>
    </row>
    <row r="151" spans="1:96" ht="16.5" x14ac:dyDescent="0.35">
      <c r="B151" s="1058"/>
      <c r="C151" s="14" t="s">
        <v>586</v>
      </c>
      <c r="D151" s="14">
        <v>1.2E-2</v>
      </c>
      <c r="E151" s="21" t="s">
        <v>502</v>
      </c>
      <c r="F151" s="122" t="s">
        <v>587</v>
      </c>
      <c r="G151" s="71">
        <v>44562</v>
      </c>
      <c r="H151" s="21" t="s">
        <v>270</v>
      </c>
    </row>
    <row r="152" spans="1:96" ht="16.5" x14ac:dyDescent="0.35">
      <c r="B152" s="1058"/>
      <c r="C152" s="14" t="s">
        <v>518</v>
      </c>
      <c r="D152" s="14">
        <v>0.1</v>
      </c>
      <c r="E152" s="21" t="s">
        <v>505</v>
      </c>
      <c r="F152" s="110" t="s">
        <v>519</v>
      </c>
      <c r="G152" s="54">
        <v>44562</v>
      </c>
      <c r="H152" s="21" t="s">
        <v>270</v>
      </c>
    </row>
    <row r="153" spans="1:96" ht="16.5" x14ac:dyDescent="0.35">
      <c r="B153" s="1058"/>
      <c r="C153" s="14" t="s">
        <v>595</v>
      </c>
      <c r="D153" s="14">
        <v>8</v>
      </c>
      <c r="E153" s="21" t="s">
        <v>505</v>
      </c>
      <c r="F153" s="124" t="s">
        <v>596</v>
      </c>
      <c r="G153" s="71">
        <v>44562</v>
      </c>
      <c r="H153" s="21" t="s">
        <v>270</v>
      </c>
    </row>
    <row r="154" spans="1:96" customFormat="1" ht="23.5" x14ac:dyDescent="0.55000000000000004">
      <c r="A154" s="14"/>
      <c r="B154" s="29" t="s">
        <v>308</v>
      </c>
      <c r="C154" s="32"/>
      <c r="D154" s="32"/>
      <c r="E154" s="32"/>
      <c r="F154" s="32"/>
      <c r="G154" s="32"/>
      <c r="H154" s="33"/>
      <c r="I154" s="38"/>
      <c r="J154" s="38"/>
      <c r="K154" s="38"/>
      <c r="L154" s="38"/>
      <c r="M154" s="38"/>
      <c r="N154" s="38"/>
      <c r="O154" s="38"/>
      <c r="P154" s="38"/>
      <c r="Q154" s="38"/>
      <c r="R154" s="38"/>
      <c r="S154" s="38"/>
      <c r="T154" s="38"/>
      <c r="U154" s="38"/>
      <c r="V154" s="38"/>
      <c r="W154" s="38"/>
      <c r="X154" s="38"/>
      <c r="Y154" s="38"/>
      <c r="Z154" s="38"/>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row>
    <row r="155" spans="1:96" customFormat="1" x14ac:dyDescent="0.35">
      <c r="A155" s="14"/>
      <c r="B155" s="32" t="s">
        <v>103</v>
      </c>
      <c r="C155" s="32"/>
      <c r="D155" s="32"/>
      <c r="E155" s="32"/>
      <c r="F155" s="32"/>
      <c r="G155" s="32"/>
      <c r="H155" s="33"/>
      <c r="I155" s="38"/>
      <c r="J155" s="38"/>
      <c r="K155" s="38"/>
      <c r="L155" s="38"/>
      <c r="M155" s="38"/>
      <c r="N155" s="38"/>
      <c r="O155" s="38"/>
      <c r="P155" s="38"/>
      <c r="Q155" s="38"/>
      <c r="R155" s="38"/>
      <c r="S155" s="38"/>
      <c r="T155" s="38"/>
      <c r="U155" s="38"/>
      <c r="V155" s="38"/>
      <c r="W155" s="38"/>
      <c r="X155" s="38"/>
      <c r="Y155" s="38"/>
      <c r="Z155" s="38"/>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row>
    <row r="156" spans="1:96" customFormat="1" ht="16.5" x14ac:dyDescent="0.35">
      <c r="A156" s="14"/>
      <c r="B156" s="1058" t="s">
        <v>115</v>
      </c>
      <c r="C156" s="14" t="s">
        <v>597</v>
      </c>
      <c r="D156" s="14">
        <v>1</v>
      </c>
      <c r="E156" s="6" t="s">
        <v>582</v>
      </c>
      <c r="F156" s="124" t="s">
        <v>598</v>
      </c>
      <c r="G156" s="71">
        <v>44562</v>
      </c>
      <c r="H156" s="21" t="s">
        <v>270</v>
      </c>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row>
    <row r="157" spans="1:96" customFormat="1" ht="16.5" x14ac:dyDescent="0.35">
      <c r="A157" s="14"/>
      <c r="B157" s="1059"/>
      <c r="C157" s="68" t="s">
        <v>599</v>
      </c>
      <c r="D157" s="68">
        <v>1</v>
      </c>
      <c r="E157" s="59" t="s">
        <v>582</v>
      </c>
      <c r="F157" s="126" t="s">
        <v>600</v>
      </c>
      <c r="G157" s="72">
        <v>44562</v>
      </c>
      <c r="H157" s="44" t="s">
        <v>270</v>
      </c>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row>
    <row r="158" spans="1:96" customFormat="1" ht="16.5" x14ac:dyDescent="0.35">
      <c r="A158" s="14"/>
      <c r="B158" s="1057" t="s">
        <v>309</v>
      </c>
      <c r="C158" s="73" t="s">
        <v>540</v>
      </c>
      <c r="D158" s="73">
        <v>1</v>
      </c>
      <c r="E158" s="62" t="s">
        <v>582</v>
      </c>
      <c r="F158" s="125" t="s">
        <v>541</v>
      </c>
      <c r="G158" s="60">
        <v>44562</v>
      </c>
      <c r="H158" s="62" t="s">
        <v>270</v>
      </c>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row>
    <row r="159" spans="1:96" customFormat="1" ht="16.5" x14ac:dyDescent="0.35">
      <c r="A159" s="14"/>
      <c r="B159" s="1058"/>
      <c r="C159" s="14" t="s">
        <v>538</v>
      </c>
      <c r="D159" s="14">
        <v>9.6472999999999993E-3</v>
      </c>
      <c r="E159" s="6" t="s">
        <v>601</v>
      </c>
      <c r="F159" s="124" t="s">
        <v>517</v>
      </c>
      <c r="G159" s="53">
        <v>44562</v>
      </c>
      <c r="H159" s="6" t="s">
        <v>270</v>
      </c>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row>
    <row r="160" spans="1:96" customFormat="1" ht="16.5" x14ac:dyDescent="0.35">
      <c r="A160" s="14"/>
      <c r="B160" s="1059"/>
      <c r="C160" s="68" t="s">
        <v>518</v>
      </c>
      <c r="D160" s="68">
        <v>0.1</v>
      </c>
      <c r="E160" s="59" t="s">
        <v>577</v>
      </c>
      <c r="F160" s="113" t="s">
        <v>519</v>
      </c>
      <c r="G160" s="58">
        <v>44562</v>
      </c>
      <c r="H160" s="59" t="s">
        <v>270</v>
      </c>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row>
    <row r="161" spans="1:96" customFormat="1" ht="16.5" x14ac:dyDescent="0.35">
      <c r="A161" s="14"/>
      <c r="B161" s="1057" t="s">
        <v>273</v>
      </c>
      <c r="C161" s="73" t="s">
        <v>520</v>
      </c>
      <c r="D161" s="73">
        <v>17</v>
      </c>
      <c r="E161" s="45" t="s">
        <v>505</v>
      </c>
      <c r="F161" s="125" t="s">
        <v>521</v>
      </c>
      <c r="G161" s="60">
        <v>44562</v>
      </c>
      <c r="H161" s="45" t="s">
        <v>270</v>
      </c>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row>
    <row r="162" spans="1:96" customFormat="1" ht="16.5" x14ac:dyDescent="0.35">
      <c r="A162" s="14"/>
      <c r="B162" s="1058"/>
      <c r="C162" s="14" t="s">
        <v>538</v>
      </c>
      <c r="D162" s="14">
        <v>9.6472999999999993E-3</v>
      </c>
      <c r="E162" s="6" t="s">
        <v>601</v>
      </c>
      <c r="F162" s="124" t="s">
        <v>517</v>
      </c>
      <c r="G162" s="53">
        <v>44562</v>
      </c>
      <c r="H162" s="21" t="s">
        <v>270</v>
      </c>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row>
    <row r="163" spans="1:96" customFormat="1" ht="16.5" x14ac:dyDescent="0.35">
      <c r="A163" s="14"/>
      <c r="B163" s="1059"/>
      <c r="C163" s="68" t="s">
        <v>518</v>
      </c>
      <c r="D163" s="68">
        <v>0.15</v>
      </c>
      <c r="E163" s="59" t="s">
        <v>577</v>
      </c>
      <c r="F163" s="113" t="s">
        <v>519</v>
      </c>
      <c r="G163" s="58">
        <v>44562</v>
      </c>
      <c r="H163" s="44" t="s">
        <v>270</v>
      </c>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row>
    <row r="164" spans="1:96" customFormat="1" ht="16.5" x14ac:dyDescent="0.35">
      <c r="A164" s="14"/>
      <c r="B164" s="1058" t="s">
        <v>310</v>
      </c>
      <c r="C164" s="14" t="s">
        <v>602</v>
      </c>
      <c r="D164" s="5">
        <v>4.5999999999999996</v>
      </c>
      <c r="E164" s="6" t="s">
        <v>577</v>
      </c>
      <c r="F164" s="124" t="s">
        <v>603</v>
      </c>
      <c r="G164" s="53">
        <v>44562</v>
      </c>
      <c r="H164" s="21" t="s">
        <v>270</v>
      </c>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row>
    <row r="165" spans="1:96" customFormat="1" ht="16.5" x14ac:dyDescent="0.35">
      <c r="A165" s="14"/>
      <c r="B165" s="1058"/>
      <c r="C165" s="14" t="s">
        <v>604</v>
      </c>
      <c r="D165" s="5">
        <v>0.19</v>
      </c>
      <c r="E165" s="6" t="s">
        <v>577</v>
      </c>
      <c r="F165" s="124" t="s">
        <v>605</v>
      </c>
      <c r="G165" s="53">
        <v>44562</v>
      </c>
      <c r="H165" s="21" t="s">
        <v>270</v>
      </c>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row>
    <row r="166" spans="1:96" customFormat="1" ht="16.5" x14ac:dyDescent="0.35">
      <c r="A166" s="14"/>
      <c r="B166" s="1058"/>
      <c r="C166" s="14" t="s">
        <v>538</v>
      </c>
      <c r="D166" s="5">
        <v>9.6472999999999993E-3</v>
      </c>
      <c r="E166" s="6" t="s">
        <v>601</v>
      </c>
      <c r="F166" s="124" t="s">
        <v>517</v>
      </c>
      <c r="G166" s="53">
        <v>44562</v>
      </c>
      <c r="H166" s="21" t="s">
        <v>270</v>
      </c>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row>
    <row r="167" spans="1:96" customFormat="1" ht="16.5" x14ac:dyDescent="0.35">
      <c r="A167" s="14"/>
      <c r="B167" s="1059"/>
      <c r="C167" s="68" t="s">
        <v>518</v>
      </c>
      <c r="D167" s="56">
        <v>0.15</v>
      </c>
      <c r="E167" s="59" t="s">
        <v>577</v>
      </c>
      <c r="F167" s="113" t="s">
        <v>519</v>
      </c>
      <c r="G167" s="58">
        <v>44562</v>
      </c>
      <c r="H167" s="44" t="s">
        <v>270</v>
      </c>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row>
    <row r="168" spans="1:96" customFormat="1" ht="16.5" x14ac:dyDescent="0.35">
      <c r="A168" s="14"/>
      <c r="B168" s="1057" t="s">
        <v>277</v>
      </c>
      <c r="C168" s="73" t="s">
        <v>277</v>
      </c>
      <c r="D168" s="73">
        <v>1</v>
      </c>
      <c r="E168" s="62" t="s">
        <v>582</v>
      </c>
      <c r="F168" s="125" t="s">
        <v>544</v>
      </c>
      <c r="G168" s="60">
        <v>44562</v>
      </c>
      <c r="H168" s="45" t="s">
        <v>270</v>
      </c>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row>
    <row r="169" spans="1:96" customFormat="1" ht="16.5" x14ac:dyDescent="0.35">
      <c r="A169" s="14"/>
      <c r="B169" s="1058"/>
      <c r="C169" s="14" t="s">
        <v>538</v>
      </c>
      <c r="D169" s="5">
        <v>9.6472999999999993E-3</v>
      </c>
      <c r="E169" s="6" t="s">
        <v>601</v>
      </c>
      <c r="F169" s="124" t="s">
        <v>517</v>
      </c>
      <c r="G169" s="53">
        <v>44562</v>
      </c>
      <c r="H169" s="21" t="s">
        <v>270</v>
      </c>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row>
    <row r="170" spans="1:96" customFormat="1" ht="16.5" x14ac:dyDescent="0.35">
      <c r="A170" s="14"/>
      <c r="B170" s="1059"/>
      <c r="C170" s="68" t="s">
        <v>518</v>
      </c>
      <c r="D170" s="56">
        <v>0.15</v>
      </c>
      <c r="E170" s="59" t="s">
        <v>577</v>
      </c>
      <c r="F170" s="113" t="s">
        <v>519</v>
      </c>
      <c r="G170" s="58">
        <v>44562</v>
      </c>
      <c r="H170" s="44" t="s">
        <v>270</v>
      </c>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row>
    <row r="171" spans="1:96" customFormat="1" ht="16.5" x14ac:dyDescent="0.35">
      <c r="A171" s="14"/>
      <c r="B171" s="1057" t="s">
        <v>311</v>
      </c>
      <c r="C171" s="14" t="s">
        <v>597</v>
      </c>
      <c r="D171" s="14">
        <v>1</v>
      </c>
      <c r="E171" s="6" t="s">
        <v>582</v>
      </c>
      <c r="F171" s="124" t="s">
        <v>598</v>
      </c>
      <c r="G171" s="71">
        <v>44562</v>
      </c>
      <c r="H171" s="21" t="s">
        <v>270</v>
      </c>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row>
    <row r="172" spans="1:96" customFormat="1" ht="16.5" x14ac:dyDescent="0.35">
      <c r="A172" s="14"/>
      <c r="B172" s="1058"/>
      <c r="C172" s="14" t="s">
        <v>599</v>
      </c>
      <c r="D172" s="14">
        <v>1</v>
      </c>
      <c r="E172" s="6" t="s">
        <v>582</v>
      </c>
      <c r="F172" s="124" t="s">
        <v>600</v>
      </c>
      <c r="G172" s="71">
        <v>44562</v>
      </c>
      <c r="H172" s="21" t="s">
        <v>270</v>
      </c>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row>
    <row r="173" spans="1:96" customFormat="1" ht="16.5" x14ac:dyDescent="0.35">
      <c r="A173" s="14"/>
      <c r="B173" s="1058"/>
      <c r="C173" s="14" t="s">
        <v>311</v>
      </c>
      <c r="D173" s="14">
        <v>1</v>
      </c>
      <c r="E173" s="6" t="s">
        <v>582</v>
      </c>
      <c r="F173" s="124" t="s">
        <v>606</v>
      </c>
      <c r="G173" s="71">
        <v>44345</v>
      </c>
      <c r="H173" s="21" t="s">
        <v>288</v>
      </c>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row>
    <row r="174" spans="1:96" customFormat="1" ht="23.5" x14ac:dyDescent="0.55000000000000004">
      <c r="A174" s="14"/>
      <c r="B174" s="29" t="s">
        <v>314</v>
      </c>
      <c r="C174" s="32"/>
      <c r="D174" s="32"/>
      <c r="E174" s="32"/>
      <c r="F174" s="32"/>
      <c r="G174" s="32"/>
      <c r="H174" s="33"/>
      <c r="I174" s="38"/>
      <c r="J174" s="38"/>
      <c r="K174" s="38"/>
      <c r="L174" s="38"/>
      <c r="M174" s="38"/>
      <c r="N174" s="38"/>
      <c r="O174" s="38"/>
      <c r="P174" s="38"/>
      <c r="Q174" s="38"/>
      <c r="R174" s="38"/>
      <c r="S174" s="38"/>
      <c r="T174" s="38"/>
      <c r="U174" s="38"/>
      <c r="V174" s="38"/>
      <c r="W174" s="38"/>
      <c r="X174" s="38"/>
      <c r="Y174" s="38"/>
      <c r="Z174" s="38"/>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row>
    <row r="175" spans="1:96" customFormat="1" x14ac:dyDescent="0.35">
      <c r="A175" s="14"/>
      <c r="B175" s="32" t="s">
        <v>103</v>
      </c>
      <c r="C175" s="32"/>
      <c r="D175" s="32"/>
      <c r="E175" s="32"/>
      <c r="F175" s="32"/>
      <c r="G175" s="32"/>
      <c r="H175" s="33"/>
      <c r="I175" s="38"/>
      <c r="J175" s="38"/>
      <c r="K175" s="38"/>
      <c r="L175" s="38"/>
      <c r="M175" s="38"/>
      <c r="N175" s="38"/>
      <c r="O175" s="38"/>
      <c r="P175" s="38"/>
      <c r="Q175" s="38"/>
      <c r="R175" s="38"/>
      <c r="S175" s="38"/>
      <c r="T175" s="38"/>
      <c r="U175" s="38"/>
      <c r="V175" s="38"/>
      <c r="W175" s="38"/>
      <c r="X175" s="38"/>
      <c r="Y175" s="38"/>
      <c r="Z175" s="38"/>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row>
    <row r="176" spans="1:96" customFormat="1" ht="24.75" customHeight="1" x14ac:dyDescent="0.45">
      <c r="A176" s="14"/>
      <c r="B176" s="51" t="s">
        <v>316</v>
      </c>
      <c r="C176" s="68" t="s">
        <v>538</v>
      </c>
      <c r="D176" s="56">
        <v>15.132</v>
      </c>
      <c r="E176" s="59" t="s">
        <v>577</v>
      </c>
      <c r="F176" s="126" t="s">
        <v>517</v>
      </c>
      <c r="G176" s="55">
        <v>44562</v>
      </c>
      <c r="H176" s="44" t="s">
        <v>270</v>
      </c>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row>
    <row r="177" spans="1:96" customFormat="1" ht="25.5" customHeight="1" x14ac:dyDescent="0.45">
      <c r="A177" s="14"/>
      <c r="B177" s="2" t="s">
        <v>318</v>
      </c>
      <c r="C177" s="14" t="s">
        <v>538</v>
      </c>
      <c r="D177" s="5">
        <v>12.61</v>
      </c>
      <c r="E177" s="6" t="s">
        <v>577</v>
      </c>
      <c r="F177" s="124" t="s">
        <v>517</v>
      </c>
      <c r="G177" s="53">
        <v>44562</v>
      </c>
      <c r="H177" s="21" t="s">
        <v>270</v>
      </c>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row>
    <row r="178" spans="1:96" customFormat="1" ht="25.5" customHeight="1" x14ac:dyDescent="0.45">
      <c r="A178" s="14"/>
      <c r="B178" s="63" t="s">
        <v>319</v>
      </c>
      <c r="C178" s="102" t="s">
        <v>538</v>
      </c>
      <c r="D178" s="64">
        <v>15.132</v>
      </c>
      <c r="E178" s="65" t="s">
        <v>577</v>
      </c>
      <c r="F178" s="128" t="s">
        <v>517</v>
      </c>
      <c r="G178" s="66">
        <v>44562</v>
      </c>
      <c r="H178" s="103" t="s">
        <v>270</v>
      </c>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row>
    <row r="179" spans="1:96" customFormat="1" ht="18" customHeight="1" x14ac:dyDescent="0.35">
      <c r="A179" s="14"/>
      <c r="B179" s="1058" t="s">
        <v>320</v>
      </c>
      <c r="C179" s="14" t="s">
        <v>607</v>
      </c>
      <c r="D179" s="14">
        <v>305.6234</v>
      </c>
      <c r="E179" s="6" t="s">
        <v>577</v>
      </c>
      <c r="F179" s="122" t="s">
        <v>608</v>
      </c>
      <c r="G179" s="71">
        <v>44927</v>
      </c>
      <c r="H179" s="21" t="s">
        <v>270</v>
      </c>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row>
    <row r="180" spans="1:96" customFormat="1" ht="18.75" customHeight="1" x14ac:dyDescent="0.35">
      <c r="A180" s="14"/>
      <c r="B180" s="1058"/>
      <c r="C180" s="14" t="s">
        <v>509</v>
      </c>
      <c r="D180" s="14">
        <v>7.2</v>
      </c>
      <c r="E180" s="6" t="s">
        <v>577</v>
      </c>
      <c r="F180" s="117" t="s">
        <v>511</v>
      </c>
      <c r="G180" s="49">
        <v>44562</v>
      </c>
      <c r="H180" s="21" t="s">
        <v>270</v>
      </c>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row>
    <row r="181" spans="1:96" customFormat="1" ht="23.5" x14ac:dyDescent="0.55000000000000004">
      <c r="A181" s="14"/>
      <c r="B181" s="29" t="s">
        <v>321</v>
      </c>
      <c r="C181" s="32"/>
      <c r="D181" s="32"/>
      <c r="E181" s="32"/>
      <c r="F181" s="32"/>
      <c r="G181" s="32"/>
      <c r="H181" s="33"/>
      <c r="I181" s="38"/>
      <c r="J181" s="38"/>
      <c r="K181" s="38"/>
      <c r="L181" s="38"/>
      <c r="M181" s="38"/>
      <c r="N181" s="38"/>
      <c r="O181" s="38"/>
      <c r="P181" s="38"/>
      <c r="Q181" s="38"/>
      <c r="R181" s="38"/>
      <c r="S181" s="38"/>
      <c r="T181" s="38"/>
      <c r="U181" s="38"/>
      <c r="V181" s="38"/>
      <c r="W181" s="38"/>
      <c r="X181" s="38"/>
      <c r="Y181" s="38"/>
      <c r="Z181" s="38"/>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row>
    <row r="182" spans="1:96" customFormat="1" x14ac:dyDescent="0.35">
      <c r="A182" s="14"/>
      <c r="B182" s="32" t="s">
        <v>103</v>
      </c>
      <c r="C182" s="32"/>
      <c r="D182" s="32"/>
      <c r="E182" s="32"/>
      <c r="F182" s="32"/>
      <c r="G182" s="32"/>
      <c r="H182" s="33"/>
      <c r="I182" s="38"/>
      <c r="J182" s="38"/>
      <c r="K182" s="38"/>
      <c r="L182" s="38"/>
      <c r="M182" s="38"/>
      <c r="N182" s="38"/>
      <c r="O182" s="38"/>
      <c r="P182" s="38"/>
      <c r="Q182" s="38"/>
      <c r="R182" s="38"/>
      <c r="S182" s="38"/>
      <c r="T182" s="38"/>
      <c r="U182" s="38"/>
      <c r="V182" s="38"/>
      <c r="W182" s="38"/>
      <c r="X182" s="38"/>
      <c r="Y182" s="38"/>
      <c r="Z182" s="38"/>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row>
    <row r="183" spans="1:96" customFormat="1" ht="16.5" x14ac:dyDescent="0.35">
      <c r="A183" s="14"/>
      <c r="B183" s="1058" t="s">
        <v>322</v>
      </c>
      <c r="C183" s="5" t="s">
        <v>609</v>
      </c>
      <c r="D183" s="5">
        <v>2.5000000000000001E-2</v>
      </c>
      <c r="E183" s="6" t="s">
        <v>601</v>
      </c>
      <c r="F183" s="124" t="s">
        <v>610</v>
      </c>
      <c r="G183" s="53">
        <v>44562</v>
      </c>
      <c r="H183" s="6" t="s">
        <v>270</v>
      </c>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row>
    <row r="184" spans="1:96" customFormat="1" ht="16.5" x14ac:dyDescent="0.35">
      <c r="A184" s="14"/>
      <c r="B184" s="1059"/>
      <c r="C184" s="56" t="s">
        <v>563</v>
      </c>
      <c r="D184" s="56">
        <v>1.1473</v>
      </c>
      <c r="E184" s="59" t="s">
        <v>577</v>
      </c>
      <c r="F184" s="126" t="s">
        <v>564</v>
      </c>
      <c r="G184" s="55">
        <v>44927</v>
      </c>
      <c r="H184" s="59" t="s">
        <v>270</v>
      </c>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row>
    <row r="185" spans="1:96" customFormat="1" ht="16.5" x14ac:dyDescent="0.35">
      <c r="A185" s="14"/>
      <c r="B185" s="1062" t="s">
        <v>323</v>
      </c>
      <c r="C185" s="73" t="s">
        <v>611</v>
      </c>
      <c r="D185" s="73">
        <v>1.4999999999999999E-2</v>
      </c>
      <c r="E185" s="62" t="s">
        <v>601</v>
      </c>
      <c r="F185" s="125" t="s">
        <v>535</v>
      </c>
      <c r="G185" s="60">
        <v>44562</v>
      </c>
      <c r="H185" s="45" t="s">
        <v>270</v>
      </c>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row>
    <row r="186" spans="1:96" customFormat="1" ht="16.5" x14ac:dyDescent="0.35">
      <c r="A186" s="14"/>
      <c r="B186" s="1060"/>
      <c r="C186" s="14" t="s">
        <v>592</v>
      </c>
      <c r="D186" s="14">
        <v>0.38</v>
      </c>
      <c r="E186" s="21" t="s">
        <v>505</v>
      </c>
      <c r="F186" s="124" t="s">
        <v>572</v>
      </c>
      <c r="G186" s="53">
        <v>44562</v>
      </c>
      <c r="H186" s="21" t="s">
        <v>270</v>
      </c>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row>
    <row r="187" spans="1:96" customFormat="1" ht="16.5" x14ac:dyDescent="0.35">
      <c r="A187" s="14"/>
      <c r="B187" s="1060"/>
      <c r="C187" s="14" t="s">
        <v>585</v>
      </c>
      <c r="D187" s="14">
        <v>0.19</v>
      </c>
      <c r="E187" s="21" t="s">
        <v>505</v>
      </c>
      <c r="F187" s="124" t="s">
        <v>574</v>
      </c>
      <c r="G187" s="53">
        <v>44562</v>
      </c>
      <c r="H187" s="21" t="s">
        <v>270</v>
      </c>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row>
    <row r="188" spans="1:96" customFormat="1" ht="16.5" x14ac:dyDescent="0.35">
      <c r="A188" s="14"/>
      <c r="B188" s="1061"/>
      <c r="C188" s="68" t="s">
        <v>518</v>
      </c>
      <c r="D188" s="56">
        <v>0.05</v>
      </c>
      <c r="E188" s="59" t="s">
        <v>577</v>
      </c>
      <c r="F188" s="113" t="s">
        <v>519</v>
      </c>
      <c r="G188" s="58">
        <v>44562</v>
      </c>
      <c r="H188" s="44" t="s">
        <v>270</v>
      </c>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row>
    <row r="189" spans="1:96" customFormat="1" ht="16.5" x14ac:dyDescent="0.35">
      <c r="A189" s="14"/>
      <c r="B189" s="1058" t="s">
        <v>324</v>
      </c>
      <c r="C189" s="5" t="s">
        <v>563</v>
      </c>
      <c r="D189" s="5">
        <v>2</v>
      </c>
      <c r="E189" s="6" t="s">
        <v>577</v>
      </c>
      <c r="F189" s="124" t="s">
        <v>564</v>
      </c>
      <c r="G189" s="53">
        <v>44927</v>
      </c>
      <c r="H189" s="21" t="s">
        <v>270</v>
      </c>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row>
    <row r="190" spans="1:96" customFormat="1" ht="16.5" x14ac:dyDescent="0.35">
      <c r="A190" s="14"/>
      <c r="B190" s="1058"/>
      <c r="C190" s="14" t="s">
        <v>612</v>
      </c>
      <c r="D190" s="14">
        <v>1.4999999999999999E-2</v>
      </c>
      <c r="E190" s="6" t="s">
        <v>601</v>
      </c>
      <c r="F190" s="124" t="s">
        <v>613</v>
      </c>
      <c r="G190" s="53">
        <v>44562</v>
      </c>
      <c r="H190" s="6" t="s">
        <v>270</v>
      </c>
      <c r="I190" s="5"/>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row>
    <row r="191" spans="1:96" customFormat="1" ht="16.5" x14ac:dyDescent="0.35">
      <c r="A191" s="14"/>
      <c r="B191" s="1059"/>
      <c r="C191" s="68" t="s">
        <v>518</v>
      </c>
      <c r="D191" s="56">
        <v>0.1</v>
      </c>
      <c r="E191" s="59" t="s">
        <v>577</v>
      </c>
      <c r="F191" s="113" t="s">
        <v>519</v>
      </c>
      <c r="G191" s="58">
        <v>44562</v>
      </c>
      <c r="H191" s="44" t="s">
        <v>270</v>
      </c>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row>
    <row r="192" spans="1:96" customFormat="1" ht="16.5" x14ac:dyDescent="0.35">
      <c r="A192" s="14"/>
      <c r="B192" s="1058" t="s">
        <v>325</v>
      </c>
      <c r="C192" s="14" t="s">
        <v>538</v>
      </c>
      <c r="D192" s="5">
        <v>15.132</v>
      </c>
      <c r="E192" s="6" t="s">
        <v>577</v>
      </c>
      <c r="F192" s="124" t="s">
        <v>517</v>
      </c>
      <c r="G192" s="53">
        <v>44562</v>
      </c>
      <c r="H192" s="21" t="s">
        <v>270</v>
      </c>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row>
    <row r="193" spans="1:96" customFormat="1" ht="16.5" x14ac:dyDescent="0.35">
      <c r="A193" s="14"/>
      <c r="B193" s="1058"/>
      <c r="C193" s="14" t="s">
        <v>588</v>
      </c>
      <c r="D193" s="14">
        <v>0.45</v>
      </c>
      <c r="E193" s="6" t="s">
        <v>577</v>
      </c>
      <c r="F193" s="120" t="s">
        <v>589</v>
      </c>
      <c r="G193" s="71">
        <v>44562</v>
      </c>
      <c r="H193" s="21" t="s">
        <v>270</v>
      </c>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row>
    <row r="194" spans="1:96" customFormat="1" ht="16.5" x14ac:dyDescent="0.35">
      <c r="A194" s="14"/>
      <c r="B194" s="1058"/>
      <c r="C194" s="14" t="s">
        <v>586</v>
      </c>
      <c r="D194" s="14">
        <v>1.4999999999999999E-2</v>
      </c>
      <c r="E194" s="6" t="s">
        <v>601</v>
      </c>
      <c r="F194" s="124" t="s">
        <v>587</v>
      </c>
      <c r="G194" s="54">
        <v>44562</v>
      </c>
      <c r="H194" s="21" t="s">
        <v>270</v>
      </c>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row>
    <row r="195" spans="1:96" customFormat="1" ht="16.5" x14ac:dyDescent="0.35">
      <c r="A195" s="14"/>
      <c r="B195" s="1059"/>
      <c r="C195" s="68" t="s">
        <v>518</v>
      </c>
      <c r="D195" s="56">
        <v>0.1</v>
      </c>
      <c r="E195" s="59" t="s">
        <v>577</v>
      </c>
      <c r="F195" s="113" t="s">
        <v>519</v>
      </c>
      <c r="G195" s="58">
        <v>44562</v>
      </c>
      <c r="H195" s="44" t="s">
        <v>270</v>
      </c>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row>
    <row r="196" spans="1:96" customFormat="1" ht="16.5" x14ac:dyDescent="0.35">
      <c r="A196" s="14"/>
      <c r="B196" s="1057" t="s">
        <v>326</v>
      </c>
      <c r="C196" s="73" t="s">
        <v>593</v>
      </c>
      <c r="D196" s="73">
        <v>2</v>
      </c>
      <c r="E196" s="6" t="s">
        <v>582</v>
      </c>
      <c r="F196" s="129" t="s">
        <v>594</v>
      </c>
      <c r="G196" s="71">
        <v>44562</v>
      </c>
      <c r="H196" s="45" t="s">
        <v>270</v>
      </c>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row>
    <row r="197" spans="1:96" customFormat="1" ht="16.5" x14ac:dyDescent="0.35">
      <c r="A197" s="14"/>
      <c r="B197" s="1058"/>
      <c r="C197" s="14" t="s">
        <v>571</v>
      </c>
      <c r="D197" s="14">
        <v>0.38</v>
      </c>
      <c r="E197" s="21" t="s">
        <v>505</v>
      </c>
      <c r="F197" s="124" t="s">
        <v>572</v>
      </c>
      <c r="G197" s="53">
        <v>44562</v>
      </c>
      <c r="H197" s="21" t="s">
        <v>270</v>
      </c>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row>
    <row r="198" spans="1:96" customFormat="1" ht="16.5" x14ac:dyDescent="0.35">
      <c r="A198" s="14"/>
      <c r="B198" s="1058"/>
      <c r="C198" s="14" t="s">
        <v>573</v>
      </c>
      <c r="D198" s="14">
        <v>0.19</v>
      </c>
      <c r="E198" s="21" t="s">
        <v>505</v>
      </c>
      <c r="F198" s="124" t="s">
        <v>574</v>
      </c>
      <c r="G198" s="53">
        <v>44562</v>
      </c>
      <c r="H198" s="21" t="s">
        <v>270</v>
      </c>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row>
    <row r="199" spans="1:96" customFormat="1" ht="14.25" customHeight="1" x14ac:dyDescent="0.35">
      <c r="A199" s="14"/>
      <c r="B199" s="1058"/>
      <c r="C199" s="14" t="s">
        <v>538</v>
      </c>
      <c r="D199" s="5">
        <v>2.41E-2</v>
      </c>
      <c r="E199" s="6" t="s">
        <v>601</v>
      </c>
      <c r="F199" s="124" t="s">
        <v>517</v>
      </c>
      <c r="G199" s="71">
        <v>44562</v>
      </c>
      <c r="H199" s="21" t="s">
        <v>270</v>
      </c>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row>
    <row r="200" spans="1:96" customFormat="1" ht="16.5" x14ac:dyDescent="0.35">
      <c r="A200" s="14"/>
      <c r="B200" s="1058"/>
      <c r="C200" s="14" t="s">
        <v>550</v>
      </c>
      <c r="D200" s="14">
        <v>4.4999999999999998E-2</v>
      </c>
      <c r="E200" s="6" t="s">
        <v>601</v>
      </c>
      <c r="F200" s="124" t="s">
        <v>551</v>
      </c>
      <c r="G200" s="53">
        <v>44562</v>
      </c>
      <c r="H200" s="6" t="s">
        <v>270</v>
      </c>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row>
    <row r="201" spans="1:96" customFormat="1" ht="16.5" x14ac:dyDescent="0.35">
      <c r="A201" s="14"/>
      <c r="B201" s="1058"/>
      <c r="C201" s="14" t="s">
        <v>518</v>
      </c>
      <c r="D201" s="5">
        <v>0.1</v>
      </c>
      <c r="E201" s="6" t="s">
        <v>577</v>
      </c>
      <c r="F201" s="110" t="s">
        <v>519</v>
      </c>
      <c r="G201" s="54">
        <v>44562</v>
      </c>
      <c r="H201" s="21" t="s">
        <v>270</v>
      </c>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row>
    <row r="202" spans="1:96" customFormat="1" ht="16.5" x14ac:dyDescent="0.35">
      <c r="A202" s="14"/>
      <c r="B202" s="1059"/>
      <c r="C202" s="14" t="s">
        <v>595</v>
      </c>
      <c r="D202" s="14">
        <v>8</v>
      </c>
      <c r="E202" s="6" t="s">
        <v>577</v>
      </c>
      <c r="F202" s="120" t="s">
        <v>596</v>
      </c>
      <c r="G202" s="71">
        <v>44562</v>
      </c>
      <c r="H202" s="44" t="s">
        <v>270</v>
      </c>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row>
    <row r="203" spans="1:96" customFormat="1" ht="18.75" customHeight="1" x14ac:dyDescent="0.35">
      <c r="A203" s="14"/>
      <c r="B203" s="1057" t="s">
        <v>327</v>
      </c>
      <c r="C203" s="57" t="s">
        <v>563</v>
      </c>
      <c r="D203" s="57">
        <v>2</v>
      </c>
      <c r="E203" s="62" t="s">
        <v>577</v>
      </c>
      <c r="F203" s="125" t="s">
        <v>564</v>
      </c>
      <c r="G203" s="60">
        <v>44927</v>
      </c>
      <c r="H203" s="45" t="s">
        <v>270</v>
      </c>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row>
    <row r="204" spans="1:96" customFormat="1" ht="18.75" customHeight="1" x14ac:dyDescent="0.35">
      <c r="A204" s="14"/>
      <c r="B204" s="1058"/>
      <c r="C204" s="14" t="s">
        <v>593</v>
      </c>
      <c r="D204" s="14">
        <v>2</v>
      </c>
      <c r="E204" s="6" t="s">
        <v>582</v>
      </c>
      <c r="F204" s="120" t="s">
        <v>594</v>
      </c>
      <c r="G204" s="71">
        <v>44562</v>
      </c>
      <c r="H204" s="21" t="s">
        <v>270</v>
      </c>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row>
    <row r="205" spans="1:96" customFormat="1" ht="18.75" customHeight="1" x14ac:dyDescent="0.35">
      <c r="A205" s="14"/>
      <c r="B205" s="1058"/>
      <c r="C205" s="14" t="s">
        <v>518</v>
      </c>
      <c r="D205" s="5">
        <v>0.1</v>
      </c>
      <c r="E205" s="6" t="s">
        <v>577</v>
      </c>
      <c r="F205" s="110" t="s">
        <v>519</v>
      </c>
      <c r="G205" s="54">
        <v>44562</v>
      </c>
      <c r="H205" s="21" t="s">
        <v>270</v>
      </c>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row>
    <row r="206" spans="1:96" customFormat="1" ht="18.75" customHeight="1" x14ac:dyDescent="0.35">
      <c r="A206" s="14"/>
      <c r="B206" s="1058"/>
      <c r="C206" s="14" t="s">
        <v>550</v>
      </c>
      <c r="D206" s="14">
        <v>4.4999999999999998E-2</v>
      </c>
      <c r="E206" s="6" t="s">
        <v>601</v>
      </c>
      <c r="F206" s="124" t="s">
        <v>551</v>
      </c>
      <c r="G206" s="53">
        <v>44562</v>
      </c>
      <c r="H206" s="21" t="s">
        <v>270</v>
      </c>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row>
    <row r="207" spans="1:96" customFormat="1" ht="18.75" customHeight="1" x14ac:dyDescent="0.35">
      <c r="A207" s="14"/>
      <c r="B207" s="1058"/>
      <c r="C207" s="14" t="s">
        <v>614</v>
      </c>
      <c r="D207" s="14">
        <v>12</v>
      </c>
      <c r="E207" s="21" t="s">
        <v>505</v>
      </c>
      <c r="F207" s="124" t="s">
        <v>615</v>
      </c>
      <c r="G207" s="53">
        <v>44562</v>
      </c>
      <c r="H207" s="21" t="s">
        <v>270</v>
      </c>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row>
    <row r="208" spans="1:96" customFormat="1" ht="18.75" customHeight="1" x14ac:dyDescent="0.35">
      <c r="A208" s="14"/>
      <c r="B208" s="1059"/>
      <c r="C208" s="68" t="s">
        <v>592</v>
      </c>
      <c r="D208" s="68">
        <v>0.38</v>
      </c>
      <c r="E208" s="44" t="s">
        <v>505</v>
      </c>
      <c r="F208" s="126" t="s">
        <v>572</v>
      </c>
      <c r="G208" s="55">
        <v>44562</v>
      </c>
      <c r="H208" s="44" t="s">
        <v>270</v>
      </c>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row>
    <row r="209" spans="1:96" customFormat="1" ht="18.5" x14ac:dyDescent="0.35">
      <c r="A209" s="14"/>
      <c r="B209" s="67"/>
      <c r="C209" s="73" t="s">
        <v>571</v>
      </c>
      <c r="D209" s="73">
        <v>0.38</v>
      </c>
      <c r="E209" s="45" t="s">
        <v>505</v>
      </c>
      <c r="F209" s="125" t="s">
        <v>572</v>
      </c>
      <c r="G209" s="60">
        <v>44562</v>
      </c>
      <c r="H209" s="45" t="s">
        <v>270</v>
      </c>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row>
    <row r="210" spans="1:96" customFormat="1" ht="18.5" x14ac:dyDescent="0.35">
      <c r="A210" s="14"/>
      <c r="B210" s="12" t="s">
        <v>328</v>
      </c>
      <c r="C210" s="14" t="s">
        <v>573</v>
      </c>
      <c r="D210" s="14">
        <v>0.19</v>
      </c>
      <c r="E210" s="21" t="s">
        <v>505</v>
      </c>
      <c r="F210" s="124" t="s">
        <v>574</v>
      </c>
      <c r="G210" s="53">
        <v>44562</v>
      </c>
      <c r="H210" s="21" t="s">
        <v>270</v>
      </c>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row>
    <row r="211" spans="1:96" customFormat="1" ht="18.5" x14ac:dyDescent="0.35">
      <c r="A211" s="14"/>
      <c r="B211" s="34"/>
      <c r="C211" s="68" t="s">
        <v>595</v>
      </c>
      <c r="D211" s="68">
        <v>8</v>
      </c>
      <c r="E211" s="59" t="s">
        <v>577</v>
      </c>
      <c r="F211" s="119" t="s">
        <v>596</v>
      </c>
      <c r="G211" s="72">
        <v>44562</v>
      </c>
      <c r="H211" s="44" t="s">
        <v>270</v>
      </c>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row>
    <row r="212" spans="1:96" customFormat="1" ht="16.5" x14ac:dyDescent="0.35">
      <c r="A212" s="14"/>
      <c r="B212" s="1058" t="s">
        <v>304</v>
      </c>
      <c r="C212" s="14" t="s">
        <v>538</v>
      </c>
      <c r="D212" s="5">
        <v>2.0999999999999999E-3</v>
      </c>
      <c r="E212" s="6" t="s">
        <v>601</v>
      </c>
      <c r="F212" s="124" t="s">
        <v>517</v>
      </c>
      <c r="G212" s="71">
        <v>44562</v>
      </c>
      <c r="H212" s="21" t="s">
        <v>270</v>
      </c>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row>
    <row r="213" spans="1:96" customFormat="1" ht="16.5" x14ac:dyDescent="0.35">
      <c r="A213" s="14"/>
      <c r="B213" s="1058"/>
      <c r="C213" s="14" t="s">
        <v>616</v>
      </c>
      <c r="D213" s="14">
        <v>4.4999999999999998E-2</v>
      </c>
      <c r="E213" s="6" t="s">
        <v>601</v>
      </c>
      <c r="F213" s="124" t="s">
        <v>551</v>
      </c>
      <c r="G213" s="71">
        <v>44562</v>
      </c>
      <c r="H213" s="21" t="s">
        <v>270</v>
      </c>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row>
    <row r="214" spans="1:96" customFormat="1" ht="16.5" x14ac:dyDescent="0.35">
      <c r="A214" s="14"/>
      <c r="B214" s="1058"/>
      <c r="C214" s="14" t="s">
        <v>617</v>
      </c>
      <c r="D214" s="14">
        <v>0.45</v>
      </c>
      <c r="E214" s="21" t="s">
        <v>505</v>
      </c>
      <c r="F214" s="124" t="s">
        <v>589</v>
      </c>
      <c r="G214" s="71">
        <v>44562</v>
      </c>
      <c r="H214" s="21" t="s">
        <v>270</v>
      </c>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row>
    <row r="215" spans="1:96" customFormat="1" ht="16.5" x14ac:dyDescent="0.35">
      <c r="A215" s="14"/>
      <c r="B215" s="1058"/>
      <c r="C215" s="14" t="s">
        <v>590</v>
      </c>
      <c r="D215" s="14">
        <v>2.2499999999999999E-2</v>
      </c>
      <c r="E215" s="21" t="s">
        <v>502</v>
      </c>
      <c r="F215" s="124" t="s">
        <v>591</v>
      </c>
      <c r="G215" s="71">
        <v>44562</v>
      </c>
      <c r="H215" s="21" t="s">
        <v>270</v>
      </c>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row>
    <row r="216" spans="1:96" customFormat="1" ht="16.5" x14ac:dyDescent="0.35">
      <c r="A216" s="14"/>
      <c r="B216" s="1058"/>
      <c r="C216" s="14" t="s">
        <v>518</v>
      </c>
      <c r="D216" s="5">
        <v>0.1</v>
      </c>
      <c r="E216" s="6" t="s">
        <v>577</v>
      </c>
      <c r="F216" s="110" t="s">
        <v>519</v>
      </c>
      <c r="G216" s="54">
        <v>44562</v>
      </c>
      <c r="H216" s="21" t="s">
        <v>270</v>
      </c>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row>
    <row r="217" spans="1:96" customFormat="1" ht="23.5" x14ac:dyDescent="0.55000000000000004">
      <c r="A217" s="14"/>
      <c r="B217" s="29" t="s">
        <v>36</v>
      </c>
      <c r="C217" s="32"/>
      <c r="D217" s="32"/>
      <c r="E217" s="32"/>
      <c r="F217" s="32"/>
      <c r="G217" s="32"/>
      <c r="H217" s="33"/>
      <c r="I217" s="38"/>
      <c r="J217" s="38"/>
      <c r="K217" s="38"/>
      <c r="L217" s="38"/>
      <c r="M217" s="38"/>
      <c r="N217" s="38"/>
      <c r="O217" s="38"/>
      <c r="P217" s="38"/>
      <c r="Q217" s="38"/>
      <c r="R217" s="38"/>
      <c r="S217" s="38"/>
      <c r="T217" s="38"/>
      <c r="U217" s="38"/>
      <c r="V217" s="38"/>
      <c r="W217" s="38"/>
      <c r="X217" s="38"/>
      <c r="Y217" s="38"/>
      <c r="Z217" s="38"/>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row>
    <row r="218" spans="1:96" customFormat="1" x14ac:dyDescent="0.35">
      <c r="A218" s="14"/>
      <c r="B218" s="32" t="s">
        <v>103</v>
      </c>
      <c r="C218" s="32"/>
      <c r="D218" s="32"/>
      <c r="E218" s="32"/>
      <c r="F218" s="32"/>
      <c r="G218" s="32"/>
      <c r="H218" s="33"/>
      <c r="I218" s="38"/>
      <c r="J218" s="38"/>
      <c r="K218" s="38"/>
      <c r="L218" s="38"/>
      <c r="M218" s="38"/>
      <c r="N218" s="38"/>
      <c r="O218" s="38"/>
      <c r="P218" s="38"/>
      <c r="Q218" s="38"/>
      <c r="R218" s="38"/>
      <c r="S218" s="38"/>
      <c r="T218" s="38"/>
      <c r="U218" s="38"/>
      <c r="V218" s="38"/>
      <c r="W218" s="38"/>
      <c r="X218" s="38"/>
      <c r="Y218" s="38"/>
      <c r="Z218" s="38"/>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row>
    <row r="219" spans="1:96" customFormat="1" ht="18.5" x14ac:dyDescent="0.35">
      <c r="A219" s="14"/>
      <c r="B219" s="86" t="s">
        <v>343</v>
      </c>
      <c r="C219" s="68" t="s">
        <v>618</v>
      </c>
      <c r="D219" s="68">
        <v>0.15</v>
      </c>
      <c r="E219" s="44" t="s">
        <v>502</v>
      </c>
      <c r="F219" s="119" t="s">
        <v>619</v>
      </c>
      <c r="G219" s="72">
        <v>44927</v>
      </c>
      <c r="H219" s="44" t="s">
        <v>270</v>
      </c>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row>
    <row r="220" spans="1:96" customFormat="1" ht="16.5" x14ac:dyDescent="0.35">
      <c r="A220" s="14"/>
      <c r="B220" s="1058" t="s">
        <v>330</v>
      </c>
      <c r="C220" s="14" t="s">
        <v>620</v>
      </c>
      <c r="D220" s="14">
        <v>2.1999999999999999E-2</v>
      </c>
      <c r="E220" s="21" t="s">
        <v>502</v>
      </c>
      <c r="F220" s="120" t="s">
        <v>621</v>
      </c>
      <c r="G220" s="71">
        <v>44562</v>
      </c>
      <c r="H220" s="21" t="s">
        <v>270</v>
      </c>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row>
    <row r="221" spans="1:96" customFormat="1" ht="16.5" x14ac:dyDescent="0.35">
      <c r="A221" s="14"/>
      <c r="B221" s="1058"/>
      <c r="C221" s="14" t="s">
        <v>518</v>
      </c>
      <c r="D221" s="5">
        <v>0.05</v>
      </c>
      <c r="E221" s="6" t="s">
        <v>577</v>
      </c>
      <c r="F221" s="110" t="s">
        <v>519</v>
      </c>
      <c r="G221" s="54">
        <v>44562</v>
      </c>
      <c r="H221" s="21" t="s">
        <v>270</v>
      </c>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row>
    <row r="222" spans="1:96" customFormat="1" ht="23.5" x14ac:dyDescent="0.55000000000000004">
      <c r="A222" s="14"/>
      <c r="B222" s="29" t="s">
        <v>622</v>
      </c>
      <c r="C222" s="32"/>
      <c r="D222" s="32"/>
      <c r="E222" s="32"/>
      <c r="F222" s="32"/>
      <c r="G222" s="32"/>
      <c r="H222" s="33"/>
      <c r="I222" s="38"/>
      <c r="J222" s="38"/>
      <c r="K222" s="38"/>
      <c r="L222" s="38"/>
      <c r="M222" s="38"/>
      <c r="N222" s="38"/>
      <c r="O222" s="38"/>
      <c r="P222" s="38"/>
      <c r="Q222" s="38"/>
      <c r="R222" s="38"/>
      <c r="S222" s="38"/>
      <c r="T222" s="38"/>
      <c r="U222" s="38"/>
      <c r="V222" s="38"/>
      <c r="W222" s="38"/>
      <c r="X222" s="38"/>
      <c r="Y222" s="38"/>
      <c r="Z222" s="38"/>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row>
    <row r="223" spans="1:96" customFormat="1" x14ac:dyDescent="0.35">
      <c r="A223" s="14"/>
      <c r="B223" s="32" t="s">
        <v>103</v>
      </c>
      <c r="C223" s="32"/>
      <c r="D223" s="32"/>
      <c r="E223" s="32"/>
      <c r="F223" s="32"/>
      <c r="G223" s="32"/>
      <c r="H223" s="33"/>
      <c r="I223" s="38"/>
      <c r="J223" s="38"/>
      <c r="K223" s="38"/>
      <c r="L223" s="38"/>
      <c r="M223" s="38"/>
      <c r="N223" s="38"/>
      <c r="O223" s="38"/>
      <c r="P223" s="38"/>
      <c r="Q223" s="38"/>
      <c r="R223" s="38"/>
      <c r="S223" s="38"/>
      <c r="T223" s="38"/>
      <c r="U223" s="38"/>
      <c r="V223" s="38"/>
      <c r="W223" s="38"/>
      <c r="X223" s="38"/>
      <c r="Y223" s="38"/>
      <c r="Z223" s="38"/>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row>
    <row r="224" spans="1:96" customFormat="1" ht="22.5" customHeight="1" x14ac:dyDescent="0.35">
      <c r="A224" s="14"/>
      <c r="B224" s="34" t="s">
        <v>332</v>
      </c>
      <c r="C224" s="40" t="s">
        <v>332</v>
      </c>
      <c r="D224" s="40">
        <v>36.75</v>
      </c>
      <c r="E224" s="41" t="s">
        <v>505</v>
      </c>
      <c r="F224" s="130" t="s">
        <v>623</v>
      </c>
      <c r="G224" s="48">
        <v>44562</v>
      </c>
      <c r="H224" s="44" t="s">
        <v>270</v>
      </c>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row>
    <row r="225" spans="1:96" customFormat="1" ht="21.75" customHeight="1" x14ac:dyDescent="0.35">
      <c r="A225" s="14"/>
      <c r="B225" s="69" t="s">
        <v>333</v>
      </c>
      <c r="C225" s="104" t="s">
        <v>624</v>
      </c>
      <c r="D225" s="104">
        <v>240</v>
      </c>
      <c r="E225" s="79" t="s">
        <v>505</v>
      </c>
      <c r="F225" s="131" t="s">
        <v>625</v>
      </c>
      <c r="G225" s="78">
        <v>44562</v>
      </c>
      <c r="H225" s="103" t="s">
        <v>270</v>
      </c>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row>
    <row r="226" spans="1:96" customFormat="1" ht="21.75" customHeight="1" x14ac:dyDescent="0.35">
      <c r="A226" s="14"/>
      <c r="B226" s="12" t="s">
        <v>334</v>
      </c>
      <c r="C226" s="35" t="s">
        <v>626</v>
      </c>
      <c r="D226" s="35">
        <v>210</v>
      </c>
      <c r="E226" s="36" t="s">
        <v>505</v>
      </c>
      <c r="F226" s="117" t="s">
        <v>627</v>
      </c>
      <c r="G226" s="49">
        <v>44562</v>
      </c>
      <c r="H226" s="21" t="s">
        <v>270</v>
      </c>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row>
    <row r="227" spans="1:96" customFormat="1" ht="23.5" x14ac:dyDescent="0.55000000000000004">
      <c r="A227" s="14"/>
      <c r="B227" s="29" t="s">
        <v>41</v>
      </c>
      <c r="C227" s="32"/>
      <c r="D227" s="32"/>
      <c r="E227" s="32"/>
      <c r="F227" s="32"/>
      <c r="G227" s="32"/>
      <c r="H227" s="33"/>
      <c r="I227" s="38"/>
      <c r="J227" s="38"/>
      <c r="K227" s="38"/>
      <c r="L227" s="38"/>
      <c r="M227" s="38"/>
      <c r="N227" s="38"/>
      <c r="O227" s="38"/>
      <c r="P227" s="38"/>
      <c r="Q227" s="38"/>
      <c r="R227" s="38"/>
      <c r="S227" s="38"/>
      <c r="T227" s="38"/>
      <c r="U227" s="38"/>
      <c r="V227" s="38"/>
      <c r="W227" s="38"/>
      <c r="X227" s="38"/>
      <c r="Y227" s="38"/>
      <c r="Z227" s="38"/>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row>
    <row r="228" spans="1:96" customFormat="1" x14ac:dyDescent="0.35">
      <c r="A228" s="14"/>
      <c r="B228" s="32" t="s">
        <v>103</v>
      </c>
      <c r="C228" s="32"/>
      <c r="D228" s="32"/>
      <c r="E228" s="32"/>
      <c r="F228" s="32"/>
      <c r="G228" s="32"/>
      <c r="H228" s="33"/>
      <c r="I228" s="38"/>
      <c r="J228" s="38"/>
      <c r="K228" s="38"/>
      <c r="L228" s="38"/>
      <c r="M228" s="38"/>
      <c r="N228" s="38"/>
      <c r="O228" s="38"/>
      <c r="P228" s="38"/>
      <c r="Q228" s="38"/>
      <c r="R228" s="38"/>
      <c r="S228" s="38"/>
      <c r="T228" s="38"/>
      <c r="U228" s="38"/>
      <c r="V228" s="38"/>
      <c r="W228" s="38"/>
      <c r="X228" s="38"/>
      <c r="Y228" s="38"/>
      <c r="Z228" s="38"/>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row>
    <row r="229" spans="1:96" customFormat="1" ht="18.5" x14ac:dyDescent="0.45">
      <c r="A229" s="14"/>
      <c r="B229" s="51" t="s">
        <v>336</v>
      </c>
      <c r="C229" s="68" t="s">
        <v>628</v>
      </c>
      <c r="D229" s="68">
        <v>330</v>
      </c>
      <c r="E229" s="41" t="s">
        <v>505</v>
      </c>
      <c r="F229" s="119" t="s">
        <v>629</v>
      </c>
      <c r="G229" s="48">
        <v>44562</v>
      </c>
      <c r="H229" s="44" t="s">
        <v>270</v>
      </c>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row>
    <row r="230" spans="1:96" customFormat="1" ht="18.75" customHeight="1" x14ac:dyDescent="0.35">
      <c r="A230" s="14"/>
      <c r="B230" s="1058" t="s">
        <v>335</v>
      </c>
      <c r="C230" s="14" t="s">
        <v>563</v>
      </c>
      <c r="D230" s="14">
        <v>26.51</v>
      </c>
      <c r="E230" s="36" t="s">
        <v>505</v>
      </c>
      <c r="F230" s="124" t="s">
        <v>564</v>
      </c>
      <c r="G230" s="71">
        <v>44927</v>
      </c>
      <c r="H230" s="21" t="s">
        <v>270</v>
      </c>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row>
    <row r="231" spans="1:96" customFormat="1" ht="18.75" customHeight="1" x14ac:dyDescent="0.35">
      <c r="A231" s="14"/>
      <c r="B231" s="1059"/>
      <c r="C231" s="68" t="s">
        <v>518</v>
      </c>
      <c r="D231" s="56">
        <v>0.05</v>
      </c>
      <c r="E231" s="59" t="s">
        <v>577</v>
      </c>
      <c r="F231" s="113" t="s">
        <v>519</v>
      </c>
      <c r="G231" s="58">
        <v>44562</v>
      </c>
      <c r="H231" s="44" t="s">
        <v>270</v>
      </c>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row>
    <row r="232" spans="1:96" customFormat="1" ht="18.5" x14ac:dyDescent="0.45">
      <c r="A232" s="14"/>
      <c r="B232" s="63" t="s">
        <v>299</v>
      </c>
      <c r="C232" s="102" t="s">
        <v>567</v>
      </c>
      <c r="D232" s="102">
        <v>0.2</v>
      </c>
      <c r="E232" s="103" t="s">
        <v>502</v>
      </c>
      <c r="F232" s="132" t="s">
        <v>568</v>
      </c>
      <c r="G232" s="105">
        <v>44562</v>
      </c>
      <c r="H232" s="103" t="s">
        <v>270</v>
      </c>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row>
    <row r="233" spans="1:96" customFormat="1" ht="18.5" x14ac:dyDescent="0.45">
      <c r="A233" s="14"/>
      <c r="B233" s="2" t="s">
        <v>630</v>
      </c>
      <c r="C233" s="14" t="s">
        <v>607</v>
      </c>
      <c r="D233" s="14">
        <v>315.8109</v>
      </c>
      <c r="E233" s="36" t="s">
        <v>505</v>
      </c>
      <c r="F233" s="120" t="s">
        <v>608</v>
      </c>
      <c r="G233" s="71">
        <v>44927</v>
      </c>
      <c r="H233" s="21" t="s">
        <v>270</v>
      </c>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row>
    <row r="234" spans="1:96" customFormat="1" ht="23.5" x14ac:dyDescent="0.55000000000000004">
      <c r="A234" s="14"/>
      <c r="B234" s="29" t="s">
        <v>338</v>
      </c>
      <c r="C234" s="32"/>
      <c r="D234" s="32"/>
      <c r="E234" s="32"/>
      <c r="F234" s="32"/>
      <c r="G234" s="32"/>
      <c r="H234" s="33"/>
      <c r="I234" s="38"/>
      <c r="J234" s="38"/>
      <c r="K234" s="38"/>
      <c r="L234" s="38"/>
      <c r="M234" s="38"/>
      <c r="N234" s="38"/>
      <c r="O234" s="38"/>
      <c r="P234" s="38"/>
      <c r="Q234" s="38"/>
      <c r="R234" s="38"/>
      <c r="S234" s="38"/>
      <c r="T234" s="38"/>
      <c r="U234" s="38"/>
      <c r="V234" s="38"/>
      <c r="W234" s="38"/>
      <c r="X234" s="38"/>
      <c r="Y234" s="38"/>
      <c r="Z234" s="38"/>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row>
    <row r="235" spans="1:96" customFormat="1" x14ac:dyDescent="0.35">
      <c r="A235" s="14"/>
      <c r="B235" s="32" t="s">
        <v>103</v>
      </c>
      <c r="C235" s="32"/>
      <c r="D235" s="32"/>
      <c r="E235" s="32"/>
      <c r="F235" s="32"/>
      <c r="G235" s="32"/>
      <c r="H235" s="33"/>
      <c r="I235" s="38"/>
      <c r="J235" s="38"/>
      <c r="K235" s="38"/>
      <c r="L235" s="38"/>
      <c r="M235" s="38"/>
      <c r="N235" s="38"/>
      <c r="O235" s="38"/>
      <c r="P235" s="38"/>
      <c r="Q235" s="38"/>
      <c r="R235" s="38"/>
      <c r="S235" s="38"/>
      <c r="T235" s="38"/>
      <c r="U235" s="38"/>
      <c r="V235" s="38"/>
      <c r="W235" s="38"/>
      <c r="X235" s="38"/>
      <c r="Y235" s="38"/>
      <c r="Z235" s="38"/>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row>
    <row r="236" spans="1:96" customFormat="1" ht="16.5" x14ac:dyDescent="0.35">
      <c r="A236" s="14"/>
      <c r="B236" s="1058" t="s">
        <v>339</v>
      </c>
      <c r="C236" s="14" t="s">
        <v>631</v>
      </c>
      <c r="D236" s="106">
        <v>1</v>
      </c>
      <c r="E236" s="21" t="s">
        <v>523</v>
      </c>
      <c r="F236" s="124" t="s">
        <v>632</v>
      </c>
      <c r="G236" s="53">
        <v>44562</v>
      </c>
      <c r="H236" s="6" t="s">
        <v>270</v>
      </c>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row>
    <row r="237" spans="1:96" customFormat="1" ht="16.5" x14ac:dyDescent="0.35">
      <c r="A237" s="14"/>
      <c r="B237" s="1058"/>
      <c r="C237" s="14" t="s">
        <v>633</v>
      </c>
      <c r="D237" s="14">
        <v>3.0000000000000001E-3</v>
      </c>
      <c r="E237" s="21" t="s">
        <v>502</v>
      </c>
      <c r="F237" s="124" t="s">
        <v>634</v>
      </c>
      <c r="G237" s="53">
        <v>43831</v>
      </c>
      <c r="H237" s="6" t="s">
        <v>270</v>
      </c>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row>
    <row r="238" spans="1:96" customFormat="1" ht="16.5" x14ac:dyDescent="0.35">
      <c r="A238" s="14"/>
      <c r="B238" s="1058"/>
      <c r="C238" s="14" t="s">
        <v>614</v>
      </c>
      <c r="D238" s="14">
        <v>96</v>
      </c>
      <c r="E238" s="36" t="s">
        <v>505</v>
      </c>
      <c r="F238" s="127" t="s">
        <v>615</v>
      </c>
      <c r="G238" s="53">
        <v>44197</v>
      </c>
      <c r="H238" s="6" t="s">
        <v>270</v>
      </c>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row>
    <row r="239" spans="1:96" customFormat="1" ht="16.5" x14ac:dyDescent="0.35">
      <c r="A239" s="14"/>
      <c r="B239" s="1058"/>
      <c r="C239" s="14" t="s">
        <v>565</v>
      </c>
      <c r="D239" s="14">
        <v>0.2</v>
      </c>
      <c r="E239" s="36" t="s">
        <v>505</v>
      </c>
      <c r="F239" s="127" t="s">
        <v>566</v>
      </c>
      <c r="G239" s="53">
        <v>44562</v>
      </c>
      <c r="H239" s="6" t="s">
        <v>270</v>
      </c>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row>
    <row r="240" spans="1:96" customFormat="1" ht="16.5" x14ac:dyDescent="0.35">
      <c r="A240" s="14"/>
      <c r="B240" s="1059"/>
      <c r="C240" s="68" t="s">
        <v>635</v>
      </c>
      <c r="D240" s="68">
        <v>0.19</v>
      </c>
      <c r="E240" s="41" t="s">
        <v>505</v>
      </c>
      <c r="F240" s="126" t="s">
        <v>636</v>
      </c>
      <c r="G240" s="55">
        <v>44562</v>
      </c>
      <c r="H240" s="59" t="s">
        <v>270</v>
      </c>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row>
    <row r="241" spans="1:96" customFormat="1" ht="16.5" x14ac:dyDescent="0.35">
      <c r="A241" s="14"/>
      <c r="B241" s="1058" t="s">
        <v>340</v>
      </c>
      <c r="C241" s="14" t="s">
        <v>637</v>
      </c>
      <c r="D241" s="14">
        <v>1</v>
      </c>
      <c r="E241" s="21" t="s">
        <v>523</v>
      </c>
      <c r="F241" s="120" t="s">
        <v>638</v>
      </c>
      <c r="G241" s="53">
        <v>44562</v>
      </c>
      <c r="H241" s="21" t="s">
        <v>270</v>
      </c>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row>
    <row r="242" spans="1:96" customFormat="1" ht="16.5" x14ac:dyDescent="0.35">
      <c r="A242" s="14"/>
      <c r="B242" s="1058"/>
      <c r="C242" s="14" t="s">
        <v>504</v>
      </c>
      <c r="D242" s="14">
        <v>3.1</v>
      </c>
      <c r="E242" s="36" t="s">
        <v>505</v>
      </c>
      <c r="F242" s="120" t="s">
        <v>506</v>
      </c>
      <c r="G242" s="53">
        <v>44197</v>
      </c>
      <c r="H242" s="21" t="s">
        <v>270</v>
      </c>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row>
    <row r="243" spans="1:96" customFormat="1" ht="16.5" x14ac:dyDescent="0.35">
      <c r="A243" s="14"/>
      <c r="B243" s="1058"/>
      <c r="C243" s="14" t="s">
        <v>614</v>
      </c>
      <c r="D243" s="14">
        <v>96</v>
      </c>
      <c r="E243" s="36" t="s">
        <v>505</v>
      </c>
      <c r="F243" s="127" t="s">
        <v>615</v>
      </c>
      <c r="G243" s="53">
        <v>44197</v>
      </c>
      <c r="H243" s="21" t="s">
        <v>270</v>
      </c>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row>
    <row r="244" spans="1:96" customFormat="1" ht="16.5" x14ac:dyDescent="0.35">
      <c r="A244" s="14"/>
      <c r="B244" s="1058"/>
      <c r="C244" s="14" t="s">
        <v>633</v>
      </c>
      <c r="D244" s="14">
        <v>3.0000000000000001E-3</v>
      </c>
      <c r="E244" s="21" t="s">
        <v>502</v>
      </c>
      <c r="F244" s="124" t="s">
        <v>634</v>
      </c>
      <c r="G244" s="53">
        <v>43831</v>
      </c>
      <c r="H244" s="21" t="s">
        <v>270</v>
      </c>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row>
    <row r="245" spans="1:96" customFormat="1" ht="16.5" x14ac:dyDescent="0.35">
      <c r="A245" s="14"/>
      <c r="B245" s="1057" t="s">
        <v>341</v>
      </c>
      <c r="C245" s="73" t="s">
        <v>614</v>
      </c>
      <c r="D245" s="73">
        <v>96</v>
      </c>
      <c r="E245" s="43" t="s">
        <v>505</v>
      </c>
      <c r="F245" s="133" t="s">
        <v>615</v>
      </c>
      <c r="G245" s="60">
        <v>44197</v>
      </c>
      <c r="H245" s="45" t="s">
        <v>270</v>
      </c>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row>
    <row r="246" spans="1:96" customFormat="1" ht="16.5" x14ac:dyDescent="0.35">
      <c r="A246" s="14"/>
      <c r="B246" s="1058"/>
      <c r="C246" s="14" t="s">
        <v>639</v>
      </c>
      <c r="D246" s="14">
        <v>0.90900000000000003</v>
      </c>
      <c r="E246" s="21" t="s">
        <v>523</v>
      </c>
      <c r="F246" s="120" t="s">
        <v>640</v>
      </c>
      <c r="G246" s="53">
        <v>44197</v>
      </c>
      <c r="H246" s="21" t="s">
        <v>270</v>
      </c>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row>
    <row r="247" spans="1:96" customFormat="1" ht="16.5" x14ac:dyDescent="0.35">
      <c r="A247" s="14"/>
      <c r="B247" s="1058"/>
      <c r="C247" s="14" t="s">
        <v>633</v>
      </c>
      <c r="D247" s="14">
        <v>6.0000000000000001E-3</v>
      </c>
      <c r="E247" s="21" t="s">
        <v>502</v>
      </c>
      <c r="F247" s="124" t="s">
        <v>634</v>
      </c>
      <c r="G247" s="53">
        <v>43831</v>
      </c>
      <c r="H247" s="21" t="s">
        <v>270</v>
      </c>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row>
    <row r="248" spans="1:96" customFormat="1" ht="16.5" x14ac:dyDescent="0.35">
      <c r="A248" s="14"/>
      <c r="B248" s="1059"/>
      <c r="C248" s="68" t="s">
        <v>518</v>
      </c>
      <c r="D248" s="56">
        <v>0.05</v>
      </c>
      <c r="E248" s="59" t="s">
        <v>577</v>
      </c>
      <c r="F248" s="113" t="s">
        <v>519</v>
      </c>
      <c r="G248" s="58">
        <v>44562</v>
      </c>
      <c r="H248" s="44" t="s">
        <v>270</v>
      </c>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row>
    <row r="249" spans="1:96" customFormat="1" ht="16.5" x14ac:dyDescent="0.35">
      <c r="A249" s="14"/>
      <c r="B249" s="1057" t="s">
        <v>342</v>
      </c>
      <c r="C249" s="73" t="s">
        <v>611</v>
      </c>
      <c r="D249" s="73">
        <v>2.1999999999999999E-2</v>
      </c>
      <c r="E249" s="62" t="s">
        <v>601</v>
      </c>
      <c r="F249" s="129" t="s">
        <v>535</v>
      </c>
      <c r="G249" s="74">
        <v>44562</v>
      </c>
      <c r="H249" s="45" t="s">
        <v>270</v>
      </c>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row>
    <row r="250" spans="1:96" customFormat="1" ht="16.5" x14ac:dyDescent="0.35">
      <c r="A250" s="14"/>
      <c r="B250" s="1058"/>
      <c r="C250" s="14" t="s">
        <v>641</v>
      </c>
      <c r="D250" s="14">
        <v>4.4999999999999998E-2</v>
      </c>
      <c r="E250" s="6" t="s">
        <v>601</v>
      </c>
      <c r="F250" s="124" t="s">
        <v>551</v>
      </c>
      <c r="G250" s="53">
        <v>44562</v>
      </c>
      <c r="H250" s="21" t="s">
        <v>270</v>
      </c>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row>
    <row r="251" spans="1:96" customFormat="1" ht="16.5" x14ac:dyDescent="0.35">
      <c r="A251" s="14"/>
      <c r="B251" s="1058"/>
      <c r="C251" s="14" t="s">
        <v>538</v>
      </c>
      <c r="D251" s="5">
        <v>3.8999999999999998E-3</v>
      </c>
      <c r="E251" s="6" t="s">
        <v>601</v>
      </c>
      <c r="F251" s="124" t="s">
        <v>517</v>
      </c>
      <c r="G251" s="71">
        <v>44562</v>
      </c>
      <c r="H251" s="21" t="s">
        <v>270</v>
      </c>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row>
    <row r="252" spans="1:96" customFormat="1" ht="16.5" x14ac:dyDescent="0.35">
      <c r="A252" s="14"/>
      <c r="B252" s="1059"/>
      <c r="C252" s="68" t="s">
        <v>518</v>
      </c>
      <c r="D252" s="56">
        <v>0.1</v>
      </c>
      <c r="E252" s="59" t="s">
        <v>577</v>
      </c>
      <c r="F252" s="113" t="s">
        <v>519</v>
      </c>
      <c r="G252" s="58">
        <v>44562</v>
      </c>
      <c r="H252" s="44" t="s">
        <v>270</v>
      </c>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row>
    <row r="253" spans="1:96" customFormat="1" ht="16.5" x14ac:dyDescent="0.35">
      <c r="A253" s="14"/>
      <c r="B253" s="1057" t="s">
        <v>343</v>
      </c>
      <c r="C253" s="73" t="s">
        <v>614</v>
      </c>
      <c r="D253" s="73">
        <v>120</v>
      </c>
      <c r="E253" s="43" t="s">
        <v>505</v>
      </c>
      <c r="F253" s="133" t="s">
        <v>615</v>
      </c>
      <c r="G253" s="60">
        <v>44197</v>
      </c>
      <c r="H253" s="45" t="s">
        <v>270</v>
      </c>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row>
    <row r="254" spans="1:96" customFormat="1" ht="16.5" x14ac:dyDescent="0.35">
      <c r="A254" s="14"/>
      <c r="B254" s="1058"/>
      <c r="C254" s="14" t="s">
        <v>633</v>
      </c>
      <c r="D254" s="14">
        <v>3.0000000000000001E-3</v>
      </c>
      <c r="E254" s="21" t="s">
        <v>502</v>
      </c>
      <c r="F254" s="124" t="s">
        <v>634</v>
      </c>
      <c r="G254" s="53">
        <v>43831</v>
      </c>
      <c r="H254" s="21" t="s">
        <v>270</v>
      </c>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row>
    <row r="255" spans="1:96" customFormat="1" ht="16.5" x14ac:dyDescent="0.35">
      <c r="A255" s="14"/>
      <c r="B255" s="1057" t="s">
        <v>344</v>
      </c>
      <c r="C255" s="73" t="s">
        <v>642</v>
      </c>
      <c r="D255" s="73">
        <v>2E-3</v>
      </c>
      <c r="E255" s="62" t="s">
        <v>601</v>
      </c>
      <c r="F255" s="125" t="s">
        <v>643</v>
      </c>
      <c r="G255" s="60">
        <v>44562</v>
      </c>
      <c r="H255" s="62" t="s">
        <v>270</v>
      </c>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row>
    <row r="256" spans="1:96" customFormat="1" ht="16.5" x14ac:dyDescent="0.35">
      <c r="A256" s="14"/>
      <c r="B256" s="1058"/>
      <c r="C256" s="14" t="s">
        <v>614</v>
      </c>
      <c r="D256" s="14">
        <v>120</v>
      </c>
      <c r="E256" s="36" t="s">
        <v>505</v>
      </c>
      <c r="F256" s="127" t="s">
        <v>615</v>
      </c>
      <c r="G256" s="53">
        <v>44562</v>
      </c>
      <c r="H256" s="21" t="s">
        <v>270</v>
      </c>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row>
    <row r="257" spans="1:96" customFormat="1" ht="16.5" x14ac:dyDescent="0.35">
      <c r="A257" s="14"/>
      <c r="B257" s="1059"/>
      <c r="C257" s="14" t="s">
        <v>633</v>
      </c>
      <c r="D257" s="14">
        <v>3.0000000000000001E-3</v>
      </c>
      <c r="E257" s="21" t="s">
        <v>502</v>
      </c>
      <c r="F257" s="124" t="s">
        <v>634</v>
      </c>
      <c r="G257" s="53">
        <v>43831</v>
      </c>
      <c r="H257" s="21" t="s">
        <v>270</v>
      </c>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row>
    <row r="258" spans="1:96" customFormat="1" ht="16.5" x14ac:dyDescent="0.35">
      <c r="A258" s="14"/>
      <c r="B258" s="1058" t="s">
        <v>345</v>
      </c>
      <c r="C258" s="73" t="s">
        <v>644</v>
      </c>
      <c r="D258" s="73">
        <v>1</v>
      </c>
      <c r="E258" s="45" t="s">
        <v>523</v>
      </c>
      <c r="F258" s="125" t="s">
        <v>645</v>
      </c>
      <c r="G258" s="60">
        <v>44562</v>
      </c>
      <c r="H258" s="45" t="s">
        <v>270</v>
      </c>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row>
    <row r="259" spans="1:96" customFormat="1" ht="16.5" x14ac:dyDescent="0.35">
      <c r="A259" s="14"/>
      <c r="B259" s="1058"/>
      <c r="C259" s="14" t="s">
        <v>614</v>
      </c>
      <c r="D259" s="14">
        <v>96</v>
      </c>
      <c r="E259" s="36" t="s">
        <v>505</v>
      </c>
      <c r="F259" s="127" t="s">
        <v>615</v>
      </c>
      <c r="G259" s="53">
        <v>44562</v>
      </c>
      <c r="H259" s="21" t="s">
        <v>270</v>
      </c>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row>
    <row r="260" spans="1:96" customFormat="1" ht="16.5" x14ac:dyDescent="0.35">
      <c r="A260" s="14"/>
      <c r="B260" s="1058"/>
      <c r="C260" s="14" t="s">
        <v>633</v>
      </c>
      <c r="D260" s="14">
        <v>3.0000000000000001E-3</v>
      </c>
      <c r="E260" s="21" t="s">
        <v>502</v>
      </c>
      <c r="F260" s="124" t="s">
        <v>634</v>
      </c>
      <c r="G260" s="53">
        <v>43831</v>
      </c>
      <c r="H260" s="21" t="s">
        <v>270</v>
      </c>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row>
    <row r="261" spans="1:96" customFormat="1" ht="23.5" x14ac:dyDescent="0.55000000000000004">
      <c r="A261" s="14"/>
      <c r="B261" s="29" t="s">
        <v>37</v>
      </c>
      <c r="C261" s="32"/>
      <c r="D261" s="32"/>
      <c r="E261" s="32"/>
      <c r="F261" s="32"/>
      <c r="G261" s="32"/>
      <c r="H261" s="32"/>
      <c r="I261" s="38"/>
      <c r="J261" s="38"/>
      <c r="K261" s="38"/>
      <c r="L261" s="38"/>
      <c r="M261" s="38"/>
      <c r="N261" s="38"/>
      <c r="O261" s="38"/>
      <c r="P261" s="38"/>
      <c r="Q261" s="38"/>
      <c r="R261" s="38"/>
      <c r="S261" s="38"/>
      <c r="T261" s="38"/>
      <c r="U261" s="38"/>
      <c r="V261" s="38"/>
      <c r="W261" s="38"/>
      <c r="X261" s="38"/>
      <c r="Y261" s="38"/>
      <c r="Z261" s="38"/>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row>
    <row r="262" spans="1:96" customFormat="1" x14ac:dyDescent="0.35">
      <c r="A262" s="14"/>
      <c r="B262" s="32" t="s">
        <v>103</v>
      </c>
      <c r="C262" s="32"/>
      <c r="D262" s="32"/>
      <c r="E262" s="32"/>
      <c r="F262" s="32"/>
      <c r="G262" s="32"/>
      <c r="H262" s="32"/>
      <c r="I262" s="38"/>
      <c r="J262" s="38"/>
      <c r="K262" s="38"/>
      <c r="L262" s="38"/>
      <c r="M262" s="38"/>
      <c r="N262" s="38"/>
      <c r="O262" s="38"/>
      <c r="P262" s="38"/>
      <c r="Q262" s="38"/>
      <c r="R262" s="38"/>
      <c r="S262" s="38"/>
      <c r="T262" s="38"/>
      <c r="U262" s="38"/>
      <c r="V262" s="38"/>
      <c r="W262" s="38"/>
      <c r="X262" s="38"/>
      <c r="Y262" s="38"/>
      <c r="Z262" s="38"/>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row>
    <row r="263" spans="1:96" customFormat="1" ht="23.25" customHeight="1" x14ac:dyDescent="0.35">
      <c r="A263" s="14"/>
      <c r="B263" s="34" t="s">
        <v>447</v>
      </c>
      <c r="C263" s="40" t="s">
        <v>581</v>
      </c>
      <c r="D263" s="40">
        <v>1</v>
      </c>
      <c r="E263" s="41" t="s">
        <v>523</v>
      </c>
      <c r="F263" s="130" t="s">
        <v>583</v>
      </c>
      <c r="G263" s="75">
        <v>44562</v>
      </c>
      <c r="H263" s="36" t="s">
        <v>270</v>
      </c>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row>
    <row r="264" spans="1:96" customFormat="1" ht="23.25" customHeight="1" x14ac:dyDescent="0.35">
      <c r="A264" s="14"/>
      <c r="B264" s="34" t="s">
        <v>646</v>
      </c>
      <c r="C264" s="40" t="s">
        <v>647</v>
      </c>
      <c r="D264" s="40">
        <v>1</v>
      </c>
      <c r="E264" s="41" t="s">
        <v>523</v>
      </c>
      <c r="F264" s="130" t="s">
        <v>583</v>
      </c>
      <c r="G264" s="76">
        <v>44562</v>
      </c>
      <c r="H264" s="43" t="s">
        <v>270</v>
      </c>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row>
    <row r="265" spans="1:96" customFormat="1" ht="24" customHeight="1" x14ac:dyDescent="0.35">
      <c r="A265" s="14"/>
      <c r="B265" s="67" t="s">
        <v>346</v>
      </c>
      <c r="C265" s="42" t="s">
        <v>648</v>
      </c>
      <c r="D265" s="42">
        <v>1</v>
      </c>
      <c r="E265" s="43" t="s">
        <v>523</v>
      </c>
      <c r="F265" s="114" t="s">
        <v>649</v>
      </c>
      <c r="G265" s="77">
        <v>44562</v>
      </c>
      <c r="H265" s="79" t="s">
        <v>270</v>
      </c>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row>
    <row r="266" spans="1:96" customFormat="1" ht="23.25" customHeight="1" x14ac:dyDescent="0.35">
      <c r="A266" s="14"/>
      <c r="B266" s="69" t="s">
        <v>347</v>
      </c>
      <c r="C266" s="104" t="s">
        <v>650</v>
      </c>
      <c r="D266" s="104">
        <v>1</v>
      </c>
      <c r="E266" s="79" t="s">
        <v>523</v>
      </c>
      <c r="F266" s="131" t="s">
        <v>649</v>
      </c>
      <c r="G266" s="75">
        <v>44562</v>
      </c>
      <c r="H266" s="36" t="s">
        <v>270</v>
      </c>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row>
    <row r="267" spans="1:96" customFormat="1" ht="22.5" customHeight="1" x14ac:dyDescent="0.35">
      <c r="A267" s="14"/>
      <c r="B267" s="34" t="s">
        <v>348</v>
      </c>
      <c r="C267" s="40" t="s">
        <v>651</v>
      </c>
      <c r="D267" s="40">
        <v>1</v>
      </c>
      <c r="E267" s="41" t="s">
        <v>523</v>
      </c>
      <c r="F267" s="130" t="s">
        <v>652</v>
      </c>
      <c r="G267" s="77">
        <v>44562</v>
      </c>
      <c r="H267" s="79" t="s">
        <v>270</v>
      </c>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row>
    <row r="268" spans="1:96" customFormat="1" ht="23.25" customHeight="1" x14ac:dyDescent="0.35">
      <c r="A268" s="14"/>
      <c r="B268" s="12" t="s">
        <v>653</v>
      </c>
      <c r="C268" s="35" t="s">
        <v>647</v>
      </c>
      <c r="D268" s="35">
        <v>1</v>
      </c>
      <c r="E268" s="36" t="s">
        <v>523</v>
      </c>
      <c r="F268" s="117" t="s">
        <v>583</v>
      </c>
      <c r="G268" s="75">
        <v>44562</v>
      </c>
      <c r="H268" s="36" t="s">
        <v>270</v>
      </c>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row>
    <row r="269" spans="1:96" customFormat="1" ht="23.5" x14ac:dyDescent="0.55000000000000004">
      <c r="A269" s="14"/>
      <c r="B269" s="29" t="s">
        <v>121</v>
      </c>
      <c r="C269" s="32"/>
      <c r="D269" s="10"/>
      <c r="E269" s="32"/>
      <c r="F269" s="32"/>
      <c r="G269" s="32"/>
      <c r="H269" s="32"/>
      <c r="I269" s="38"/>
      <c r="J269" s="38"/>
      <c r="K269" s="38"/>
      <c r="L269" s="38"/>
      <c r="M269" s="38"/>
      <c r="N269" s="38"/>
      <c r="O269" s="38"/>
      <c r="P269" s="38"/>
      <c r="Q269" s="38"/>
      <c r="R269" s="38"/>
      <c r="S269" s="38"/>
      <c r="T269" s="38"/>
      <c r="U269" s="38"/>
      <c r="V269" s="38"/>
      <c r="W269" s="38"/>
      <c r="X269" s="38"/>
      <c r="Y269" s="38"/>
      <c r="Z269" s="38"/>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row>
    <row r="270" spans="1:96" customFormat="1" x14ac:dyDescent="0.35">
      <c r="A270" s="14"/>
      <c r="B270" s="32" t="s">
        <v>103</v>
      </c>
      <c r="C270" s="32"/>
      <c r="D270" s="10"/>
      <c r="E270" s="32"/>
      <c r="F270" s="32"/>
      <c r="G270" s="32"/>
      <c r="H270" s="32"/>
      <c r="I270" s="38"/>
      <c r="J270" s="38"/>
      <c r="K270" s="38"/>
      <c r="L270" s="38"/>
      <c r="M270" s="38"/>
      <c r="N270" s="38"/>
      <c r="O270" s="38"/>
      <c r="P270" s="38"/>
      <c r="Q270" s="38"/>
      <c r="R270" s="38"/>
      <c r="S270" s="38"/>
      <c r="T270" s="38"/>
      <c r="U270" s="38"/>
      <c r="V270" s="38"/>
      <c r="W270" s="38"/>
      <c r="X270" s="38"/>
      <c r="Y270" s="38"/>
      <c r="Z270" s="38"/>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row>
    <row r="271" spans="1:96" customFormat="1" ht="16.5" x14ac:dyDescent="0.35">
      <c r="A271" s="14"/>
      <c r="B271" s="1058" t="s">
        <v>350</v>
      </c>
      <c r="C271" s="14" t="s">
        <v>654</v>
      </c>
      <c r="D271" s="14">
        <v>0.86099999999999999</v>
      </c>
      <c r="E271" s="21" t="s">
        <v>655</v>
      </c>
      <c r="F271" s="120" t="s">
        <v>656</v>
      </c>
      <c r="G271" s="71">
        <v>44562</v>
      </c>
      <c r="H271" s="21" t="s">
        <v>270</v>
      </c>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row>
    <row r="272" spans="1:96" customFormat="1" ht="16.5" x14ac:dyDescent="0.35">
      <c r="A272" s="14"/>
      <c r="B272" s="1058"/>
      <c r="C272" s="14" t="s">
        <v>657</v>
      </c>
      <c r="D272" s="14">
        <v>2.87</v>
      </c>
      <c r="E272" s="21" t="s">
        <v>655</v>
      </c>
      <c r="F272" s="120" t="s">
        <v>658</v>
      </c>
      <c r="G272" s="71">
        <v>44562</v>
      </c>
      <c r="H272" s="21" t="s">
        <v>270</v>
      </c>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row>
    <row r="273" spans="1:96" customFormat="1" ht="16.5" x14ac:dyDescent="0.35">
      <c r="A273" s="14"/>
      <c r="B273" s="1058"/>
      <c r="C273" s="14" t="s">
        <v>659</v>
      </c>
      <c r="D273" s="14">
        <v>0.82799999999999996</v>
      </c>
      <c r="E273" s="21" t="s">
        <v>655</v>
      </c>
      <c r="F273" s="120" t="s">
        <v>660</v>
      </c>
      <c r="G273" s="71">
        <v>44562</v>
      </c>
      <c r="H273" s="21" t="s">
        <v>270</v>
      </c>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row>
    <row r="274" spans="1:96" customFormat="1" ht="16.5" x14ac:dyDescent="0.35">
      <c r="A274" s="14"/>
      <c r="B274" s="1058"/>
      <c r="C274" s="14" t="s">
        <v>661</v>
      </c>
      <c r="D274" s="14">
        <v>2.76</v>
      </c>
      <c r="E274" s="21" t="s">
        <v>655</v>
      </c>
      <c r="F274" s="120" t="s">
        <v>662</v>
      </c>
      <c r="G274" s="71">
        <v>44562</v>
      </c>
      <c r="H274" s="21" t="s">
        <v>270</v>
      </c>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row>
    <row r="275" spans="1:96" customFormat="1" ht="16.5" x14ac:dyDescent="0.35">
      <c r="A275" s="14"/>
      <c r="B275" s="1059"/>
      <c r="C275" s="68" t="s">
        <v>663</v>
      </c>
      <c r="D275" s="68">
        <v>5.7750000000000004</v>
      </c>
      <c r="E275" s="44" t="s">
        <v>655</v>
      </c>
      <c r="F275" s="119" t="s">
        <v>547</v>
      </c>
      <c r="G275" s="72">
        <v>44562</v>
      </c>
      <c r="H275" s="44" t="s">
        <v>270</v>
      </c>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row>
    <row r="276" spans="1:96" customFormat="1" ht="16.5" x14ac:dyDescent="0.35">
      <c r="A276" s="14"/>
      <c r="B276" s="1057" t="s">
        <v>351</v>
      </c>
      <c r="C276" s="73" t="s">
        <v>664</v>
      </c>
      <c r="D276" s="73">
        <v>2.87</v>
      </c>
      <c r="E276" s="45" t="s">
        <v>655</v>
      </c>
      <c r="F276" s="129" t="s">
        <v>662</v>
      </c>
      <c r="G276" s="74">
        <v>44562</v>
      </c>
      <c r="H276" s="45" t="s">
        <v>270</v>
      </c>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row>
    <row r="277" spans="1:96" customFormat="1" ht="16.5" x14ac:dyDescent="0.35">
      <c r="A277" s="14"/>
      <c r="B277" s="1058"/>
      <c r="C277" s="14" t="s">
        <v>657</v>
      </c>
      <c r="D277" s="14">
        <v>2.76</v>
      </c>
      <c r="E277" s="21" t="s">
        <v>655</v>
      </c>
      <c r="F277" s="120" t="s">
        <v>658</v>
      </c>
      <c r="G277" s="71">
        <v>44562</v>
      </c>
      <c r="H277" s="21" t="s">
        <v>270</v>
      </c>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row>
    <row r="278" spans="1:96" customFormat="1" ht="16.5" x14ac:dyDescent="0.35">
      <c r="A278" s="14"/>
      <c r="B278" s="1059"/>
      <c r="C278" s="68" t="s">
        <v>663</v>
      </c>
      <c r="D278" s="68">
        <v>5.7750000000000004</v>
      </c>
      <c r="E278" s="44" t="s">
        <v>655</v>
      </c>
      <c r="F278" s="119" t="s">
        <v>547</v>
      </c>
      <c r="G278" s="72">
        <v>44562</v>
      </c>
      <c r="H278" s="44" t="s">
        <v>270</v>
      </c>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row>
    <row r="279" spans="1:96" customFormat="1" ht="16.5" x14ac:dyDescent="0.35">
      <c r="A279" s="14"/>
      <c r="B279" s="1057" t="s">
        <v>275</v>
      </c>
      <c r="C279" s="73" t="s">
        <v>654</v>
      </c>
      <c r="D279" s="73">
        <v>2.87</v>
      </c>
      <c r="E279" s="45" t="s">
        <v>655</v>
      </c>
      <c r="F279" s="129" t="s">
        <v>656</v>
      </c>
      <c r="G279" s="74">
        <v>44562</v>
      </c>
      <c r="H279" s="45" t="s">
        <v>270</v>
      </c>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row>
    <row r="280" spans="1:96" customFormat="1" ht="16.5" x14ac:dyDescent="0.35">
      <c r="A280" s="14"/>
      <c r="B280" s="1058"/>
      <c r="C280" s="14" t="s">
        <v>659</v>
      </c>
      <c r="D280" s="14">
        <v>2.76</v>
      </c>
      <c r="E280" s="21" t="s">
        <v>655</v>
      </c>
      <c r="F280" s="120" t="s">
        <v>660</v>
      </c>
      <c r="G280" s="71">
        <v>44562</v>
      </c>
      <c r="H280" s="21" t="s">
        <v>270</v>
      </c>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row>
    <row r="281" spans="1:96" customFormat="1" ht="16.5" x14ac:dyDescent="0.35">
      <c r="A281" s="14"/>
      <c r="B281" s="1059"/>
      <c r="C281" s="68" t="s">
        <v>663</v>
      </c>
      <c r="D281" s="68">
        <v>5.7750000000000004</v>
      </c>
      <c r="E281" s="44" t="s">
        <v>655</v>
      </c>
      <c r="F281" s="119" t="s">
        <v>547</v>
      </c>
      <c r="G281" s="72">
        <v>44562</v>
      </c>
      <c r="H281" s="44" t="s">
        <v>270</v>
      </c>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row>
    <row r="282" spans="1:96" customFormat="1" ht="16.5" x14ac:dyDescent="0.35">
      <c r="A282" s="14"/>
      <c r="B282" s="1058" t="s">
        <v>665</v>
      </c>
      <c r="C282" s="14" t="s">
        <v>666</v>
      </c>
      <c r="D282" s="14">
        <v>2.87</v>
      </c>
      <c r="E282" s="21" t="s">
        <v>655</v>
      </c>
      <c r="F282" s="120" t="s">
        <v>667</v>
      </c>
      <c r="G282" s="71">
        <v>44562</v>
      </c>
      <c r="H282" s="21" t="s">
        <v>270</v>
      </c>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row>
    <row r="283" spans="1:96" customFormat="1" ht="16.5" x14ac:dyDescent="0.35">
      <c r="A283" s="14"/>
      <c r="B283" s="1058"/>
      <c r="C283" s="14" t="s">
        <v>668</v>
      </c>
      <c r="D283" s="14">
        <v>2.76</v>
      </c>
      <c r="E283" s="21" t="s">
        <v>655</v>
      </c>
      <c r="F283" s="120" t="s">
        <v>669</v>
      </c>
      <c r="G283" s="71">
        <v>44562</v>
      </c>
      <c r="H283" s="21" t="s">
        <v>270</v>
      </c>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row>
    <row r="284" spans="1:96" customFormat="1" ht="16.5" x14ac:dyDescent="0.35">
      <c r="A284" s="14"/>
      <c r="B284" s="1058"/>
      <c r="C284" s="14" t="s">
        <v>663</v>
      </c>
      <c r="D284" s="14">
        <v>5.7750000000000004</v>
      </c>
      <c r="E284" s="21" t="s">
        <v>655</v>
      </c>
      <c r="F284" s="120" t="s">
        <v>547</v>
      </c>
      <c r="G284" s="71">
        <v>44562</v>
      </c>
      <c r="H284" s="21" t="s">
        <v>270</v>
      </c>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row>
    <row r="285" spans="1:96" customFormat="1" ht="23.5" x14ac:dyDescent="0.55000000000000004">
      <c r="A285" s="14"/>
      <c r="B285" s="29" t="s">
        <v>353</v>
      </c>
      <c r="C285" s="32"/>
      <c r="D285" s="10"/>
      <c r="E285" s="32"/>
      <c r="F285" s="32"/>
      <c r="G285" s="32"/>
      <c r="H285" s="32"/>
      <c r="I285" s="38"/>
      <c r="J285" s="38"/>
      <c r="K285" s="38"/>
      <c r="L285" s="38"/>
      <c r="M285" s="38"/>
      <c r="N285" s="38"/>
      <c r="O285" s="38"/>
      <c r="P285" s="38"/>
      <c r="Q285" s="38"/>
      <c r="R285" s="38"/>
      <c r="S285" s="38"/>
      <c r="T285" s="38"/>
      <c r="U285" s="38"/>
      <c r="V285" s="38"/>
      <c r="W285" s="38"/>
      <c r="X285" s="38"/>
      <c r="Y285" s="38"/>
      <c r="Z285" s="38"/>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row>
    <row r="286" spans="1:96" customFormat="1" x14ac:dyDescent="0.35">
      <c r="A286" s="14"/>
      <c r="B286" s="32" t="s">
        <v>103</v>
      </c>
      <c r="C286" s="32"/>
      <c r="D286" s="10"/>
      <c r="E286" s="32"/>
      <c r="F286" s="32"/>
      <c r="G286" s="32"/>
      <c r="H286" s="32"/>
      <c r="I286" s="38"/>
      <c r="J286" s="38"/>
      <c r="K286" s="38"/>
      <c r="L286" s="38"/>
      <c r="M286" s="38"/>
      <c r="N286" s="38"/>
      <c r="O286" s="38"/>
      <c r="P286" s="38"/>
      <c r="Q286" s="38"/>
      <c r="R286" s="38"/>
      <c r="S286" s="38"/>
      <c r="T286" s="38"/>
      <c r="U286" s="38"/>
      <c r="V286" s="38"/>
      <c r="W286" s="38"/>
      <c r="X286" s="38"/>
      <c r="Y286" s="38"/>
      <c r="Z286" s="38"/>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row>
    <row r="287" spans="1:96" customFormat="1" ht="16.5" x14ac:dyDescent="0.35">
      <c r="A287" s="14"/>
      <c r="B287" s="1058" t="s">
        <v>300</v>
      </c>
      <c r="C287" s="14" t="s">
        <v>569</v>
      </c>
      <c r="D287" s="14">
        <v>57.5</v>
      </c>
      <c r="E287" s="21" t="s">
        <v>670</v>
      </c>
      <c r="F287" s="120" t="s">
        <v>570</v>
      </c>
      <c r="G287" s="71">
        <v>44562</v>
      </c>
      <c r="H287" s="21" t="s">
        <v>270</v>
      </c>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row>
    <row r="288" spans="1:96" customFormat="1" ht="16.5" x14ac:dyDescent="0.35">
      <c r="A288" s="14"/>
      <c r="B288" s="1059"/>
      <c r="C288" s="68" t="s">
        <v>595</v>
      </c>
      <c r="D288" s="14">
        <v>4.8</v>
      </c>
      <c r="E288" s="21" t="s">
        <v>505</v>
      </c>
      <c r="F288" s="120" t="s">
        <v>596</v>
      </c>
      <c r="G288" s="71">
        <v>44562</v>
      </c>
      <c r="H288" s="21" t="s">
        <v>270</v>
      </c>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row>
    <row r="289" spans="1:96" customFormat="1" ht="16.5" x14ac:dyDescent="0.35">
      <c r="A289" s="14"/>
      <c r="B289" s="1057" t="s">
        <v>354</v>
      </c>
      <c r="C289" s="73" t="s">
        <v>501</v>
      </c>
      <c r="D289" s="73">
        <v>90</v>
      </c>
      <c r="E289" s="45" t="s">
        <v>505</v>
      </c>
      <c r="F289" s="129" t="s">
        <v>503</v>
      </c>
      <c r="G289" s="74">
        <v>44562</v>
      </c>
      <c r="H289" s="45" t="s">
        <v>270</v>
      </c>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row>
    <row r="290" spans="1:96" customFormat="1" ht="16.5" x14ac:dyDescent="0.35">
      <c r="A290" s="14"/>
      <c r="B290" s="1058"/>
      <c r="C290" s="14" t="s">
        <v>504</v>
      </c>
      <c r="D290" s="14">
        <v>5.52</v>
      </c>
      <c r="E290" s="21" t="s">
        <v>505</v>
      </c>
      <c r="F290" s="120" t="s">
        <v>506</v>
      </c>
      <c r="G290" s="71">
        <v>44562</v>
      </c>
      <c r="H290" s="21" t="s">
        <v>270</v>
      </c>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row>
    <row r="291" spans="1:96" customFormat="1" ht="16.5" x14ac:dyDescent="0.35">
      <c r="A291" s="14"/>
      <c r="B291" s="1057" t="s">
        <v>309</v>
      </c>
      <c r="C291" s="73" t="s">
        <v>501</v>
      </c>
      <c r="D291" s="73">
        <v>0.108</v>
      </c>
      <c r="E291" s="45" t="s">
        <v>502</v>
      </c>
      <c r="F291" s="129" t="s">
        <v>503</v>
      </c>
      <c r="G291" s="74">
        <v>44562</v>
      </c>
      <c r="H291" s="45" t="s">
        <v>270</v>
      </c>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row>
    <row r="292" spans="1:96" customFormat="1" ht="16.5" x14ac:dyDescent="0.35">
      <c r="A292" s="14"/>
      <c r="B292" s="1058"/>
      <c r="C292" s="14" t="s">
        <v>504</v>
      </c>
      <c r="D292" s="14">
        <v>12.096</v>
      </c>
      <c r="E292" s="21" t="s">
        <v>505</v>
      </c>
      <c r="F292" s="120" t="s">
        <v>506</v>
      </c>
      <c r="G292" s="71">
        <v>44562</v>
      </c>
      <c r="H292" s="21" t="s">
        <v>270</v>
      </c>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row>
    <row r="293" spans="1:96" customFormat="1" ht="16.5" x14ac:dyDescent="0.35">
      <c r="A293" s="14"/>
      <c r="B293" s="1057" t="s">
        <v>355</v>
      </c>
      <c r="C293" s="73" t="s">
        <v>504</v>
      </c>
      <c r="D293" s="73">
        <v>12.096</v>
      </c>
      <c r="E293" s="45" t="s">
        <v>505</v>
      </c>
      <c r="F293" s="129" t="s">
        <v>506</v>
      </c>
      <c r="G293" s="74">
        <v>44562</v>
      </c>
      <c r="H293" s="45" t="s">
        <v>270</v>
      </c>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row>
    <row r="294" spans="1:96" customFormat="1" ht="16.5" x14ac:dyDescent="0.35">
      <c r="A294" s="14"/>
      <c r="B294" s="1059"/>
      <c r="C294" s="68" t="s">
        <v>507</v>
      </c>
      <c r="D294" s="68">
        <v>194.4</v>
      </c>
      <c r="E294" s="44" t="s">
        <v>670</v>
      </c>
      <c r="F294" s="111" t="s">
        <v>508</v>
      </c>
      <c r="G294" s="96">
        <v>44562</v>
      </c>
      <c r="H294" s="41" t="s">
        <v>288</v>
      </c>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row>
    <row r="295" spans="1:96" customFormat="1" ht="21" customHeight="1" x14ac:dyDescent="0.35">
      <c r="A295" s="14"/>
      <c r="B295" s="12" t="s">
        <v>299</v>
      </c>
      <c r="C295" s="35" t="s">
        <v>567</v>
      </c>
      <c r="D295" s="35">
        <v>0.1</v>
      </c>
      <c r="E295" s="43" t="s">
        <v>502</v>
      </c>
      <c r="F295" s="117" t="s">
        <v>671</v>
      </c>
      <c r="G295" s="47">
        <v>44562</v>
      </c>
      <c r="H295" s="43" t="s">
        <v>270</v>
      </c>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row>
    <row r="296" spans="1:96" customFormat="1" ht="23.5" x14ac:dyDescent="0.55000000000000004">
      <c r="A296" s="14"/>
      <c r="B296" s="29" t="s">
        <v>357</v>
      </c>
      <c r="C296" s="32"/>
      <c r="D296" s="10"/>
      <c r="E296" s="32"/>
      <c r="F296" s="32"/>
      <c r="G296" s="32"/>
      <c r="H296" s="32"/>
      <c r="I296" s="38"/>
      <c r="J296" s="38"/>
      <c r="K296" s="38"/>
      <c r="L296" s="38"/>
      <c r="M296" s="38"/>
      <c r="N296" s="38"/>
      <c r="O296" s="38"/>
      <c r="P296" s="38"/>
      <c r="Q296" s="38"/>
      <c r="R296" s="38"/>
      <c r="S296" s="38"/>
      <c r="T296" s="38"/>
      <c r="U296" s="38"/>
      <c r="V296" s="38"/>
      <c r="W296" s="38"/>
      <c r="X296" s="38"/>
      <c r="Y296" s="38"/>
      <c r="Z296" s="38"/>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row>
    <row r="297" spans="1:96" customFormat="1" x14ac:dyDescent="0.35">
      <c r="A297" s="14"/>
      <c r="B297" s="32" t="s">
        <v>103</v>
      </c>
      <c r="C297" s="32"/>
      <c r="D297" s="10"/>
      <c r="E297" s="32"/>
      <c r="F297" s="32"/>
      <c r="G297" s="32"/>
      <c r="H297" s="32"/>
      <c r="I297" s="38"/>
      <c r="J297" s="38"/>
      <c r="K297" s="38"/>
      <c r="L297" s="38"/>
      <c r="M297" s="38"/>
      <c r="N297" s="38"/>
      <c r="O297" s="38"/>
      <c r="P297" s="38"/>
      <c r="Q297" s="38"/>
      <c r="R297" s="38"/>
      <c r="S297" s="38"/>
      <c r="T297" s="38"/>
      <c r="U297" s="38"/>
      <c r="V297" s="38"/>
      <c r="W297" s="38"/>
      <c r="X297" s="38"/>
      <c r="Y297" s="38"/>
      <c r="Z297" s="38"/>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row>
    <row r="298" spans="1:96" customFormat="1" ht="16.5" x14ac:dyDescent="0.35">
      <c r="A298" s="14"/>
      <c r="B298" s="1058" t="s">
        <v>298</v>
      </c>
      <c r="C298" s="14" t="s">
        <v>563</v>
      </c>
      <c r="D298" s="14">
        <v>6.23</v>
      </c>
      <c r="E298" s="36" t="s">
        <v>505</v>
      </c>
      <c r="F298" s="124" t="s">
        <v>564</v>
      </c>
      <c r="G298" s="71">
        <v>44927</v>
      </c>
      <c r="H298" s="21" t="s">
        <v>270</v>
      </c>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row>
    <row r="299" spans="1:96" customFormat="1" ht="16.5" x14ac:dyDescent="0.35">
      <c r="A299" s="14"/>
      <c r="B299" s="1059"/>
      <c r="C299" s="68" t="s">
        <v>518</v>
      </c>
      <c r="D299" s="56">
        <v>0.1</v>
      </c>
      <c r="E299" s="59" t="s">
        <v>577</v>
      </c>
      <c r="F299" s="113" t="s">
        <v>519</v>
      </c>
      <c r="G299" s="58">
        <v>44562</v>
      </c>
      <c r="H299" s="44" t="s">
        <v>270</v>
      </c>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row>
    <row r="300" spans="1:96" customFormat="1" ht="16.5" x14ac:dyDescent="0.35">
      <c r="A300" s="14"/>
      <c r="B300" s="1058" t="s">
        <v>107</v>
      </c>
      <c r="C300" s="14" t="s">
        <v>538</v>
      </c>
      <c r="D300" s="5">
        <v>7.0499999999999998E-3</v>
      </c>
      <c r="E300" s="6" t="s">
        <v>601</v>
      </c>
      <c r="F300" s="124" t="s">
        <v>517</v>
      </c>
      <c r="G300" s="71">
        <v>44562</v>
      </c>
      <c r="H300" s="21" t="s">
        <v>270</v>
      </c>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row>
    <row r="301" spans="1:96" customFormat="1" ht="16.5" x14ac:dyDescent="0.35">
      <c r="A301" s="14"/>
      <c r="B301" s="1058"/>
      <c r="C301" s="14" t="s">
        <v>518</v>
      </c>
      <c r="D301" s="5">
        <v>0.05</v>
      </c>
      <c r="E301" s="6" t="s">
        <v>577</v>
      </c>
      <c r="F301" s="110" t="s">
        <v>519</v>
      </c>
      <c r="G301" s="54">
        <v>44562</v>
      </c>
      <c r="H301" s="21" t="s">
        <v>270</v>
      </c>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row>
    <row r="302" spans="1:96" customFormat="1" ht="23.5" x14ac:dyDescent="0.55000000000000004">
      <c r="A302" s="14"/>
      <c r="B302" s="29" t="s">
        <v>39</v>
      </c>
      <c r="C302" s="32"/>
      <c r="D302" s="10"/>
      <c r="E302" s="32"/>
      <c r="F302" s="32"/>
      <c r="G302" s="32"/>
      <c r="H302" s="32"/>
      <c r="I302" s="38"/>
      <c r="J302" s="38"/>
      <c r="K302" s="38"/>
      <c r="L302" s="38"/>
      <c r="M302" s="38"/>
      <c r="N302" s="38"/>
      <c r="O302" s="38"/>
      <c r="P302" s="38"/>
      <c r="Q302" s="38"/>
      <c r="R302" s="38"/>
      <c r="S302" s="38"/>
      <c r="T302" s="38"/>
      <c r="U302" s="38"/>
      <c r="V302" s="38"/>
      <c r="W302" s="38"/>
      <c r="X302" s="38"/>
      <c r="Y302" s="38"/>
      <c r="Z302" s="38"/>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row>
    <row r="303" spans="1:96" customFormat="1" x14ac:dyDescent="0.35">
      <c r="A303" s="14"/>
      <c r="B303" s="32" t="s">
        <v>103</v>
      </c>
      <c r="C303" s="32"/>
      <c r="D303" s="10"/>
      <c r="E303" s="32"/>
      <c r="F303" s="32"/>
      <c r="G303" s="32"/>
      <c r="H303" s="32"/>
      <c r="I303" s="38"/>
      <c r="J303" s="38"/>
      <c r="K303" s="38"/>
      <c r="L303" s="38"/>
      <c r="M303" s="38"/>
      <c r="N303" s="38"/>
      <c r="O303" s="38"/>
      <c r="P303" s="38"/>
      <c r="Q303" s="38"/>
      <c r="R303" s="38"/>
      <c r="S303" s="38"/>
      <c r="T303" s="38"/>
      <c r="U303" s="38"/>
      <c r="V303" s="38"/>
      <c r="W303" s="38"/>
      <c r="X303" s="38"/>
      <c r="Y303" s="38"/>
      <c r="Z303" s="38"/>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row>
    <row r="304" spans="1:96" customFormat="1" ht="17.25" customHeight="1" x14ac:dyDescent="0.35">
      <c r="A304" s="14"/>
      <c r="B304" s="1058" t="s">
        <v>300</v>
      </c>
      <c r="C304" s="14" t="s">
        <v>569</v>
      </c>
      <c r="D304" s="14">
        <v>57.5</v>
      </c>
      <c r="E304" s="21" t="s">
        <v>670</v>
      </c>
      <c r="F304" s="120" t="s">
        <v>570</v>
      </c>
      <c r="G304" s="71">
        <v>44562</v>
      </c>
      <c r="H304" s="21" t="s">
        <v>270</v>
      </c>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row>
    <row r="305" spans="1:96" customFormat="1" ht="17.25" customHeight="1" x14ac:dyDescent="0.35">
      <c r="A305" s="14"/>
      <c r="B305" s="1059"/>
      <c r="C305" s="68" t="s">
        <v>595</v>
      </c>
      <c r="D305" s="14">
        <v>4.8</v>
      </c>
      <c r="E305" s="21" t="s">
        <v>505</v>
      </c>
      <c r="F305" s="120" t="s">
        <v>596</v>
      </c>
      <c r="G305" s="71">
        <v>44562</v>
      </c>
      <c r="H305" s="21" t="s">
        <v>270</v>
      </c>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row>
    <row r="306" spans="1:96" customFormat="1" ht="17.25" customHeight="1" x14ac:dyDescent="0.35">
      <c r="A306" s="14"/>
      <c r="B306" s="1057" t="s">
        <v>354</v>
      </c>
      <c r="C306" s="73" t="s">
        <v>501</v>
      </c>
      <c r="D306" s="73">
        <v>90</v>
      </c>
      <c r="E306" s="45" t="s">
        <v>505</v>
      </c>
      <c r="F306" s="129" t="s">
        <v>503</v>
      </c>
      <c r="G306" s="74">
        <v>44562</v>
      </c>
      <c r="H306" s="45" t="s">
        <v>270</v>
      </c>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row>
    <row r="307" spans="1:96" customFormat="1" ht="17.25" customHeight="1" x14ac:dyDescent="0.35">
      <c r="A307" s="14"/>
      <c r="B307" s="1058"/>
      <c r="C307" s="14" t="s">
        <v>504</v>
      </c>
      <c r="D307" s="14">
        <v>5.52</v>
      </c>
      <c r="E307" s="21" t="s">
        <v>505</v>
      </c>
      <c r="F307" s="120" t="s">
        <v>506</v>
      </c>
      <c r="G307" s="71">
        <v>44562</v>
      </c>
      <c r="H307" s="21" t="s">
        <v>270</v>
      </c>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row>
    <row r="308" spans="1:96" customFormat="1" ht="17.25" customHeight="1" x14ac:dyDescent="0.35">
      <c r="A308" s="14"/>
      <c r="B308" s="1057" t="s">
        <v>309</v>
      </c>
      <c r="C308" s="73" t="s">
        <v>501</v>
      </c>
      <c r="D308" s="73">
        <v>0.108</v>
      </c>
      <c r="E308" s="45" t="s">
        <v>502</v>
      </c>
      <c r="F308" s="129" t="s">
        <v>503</v>
      </c>
      <c r="G308" s="74">
        <v>44562</v>
      </c>
      <c r="H308" s="45" t="s">
        <v>270</v>
      </c>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row>
    <row r="309" spans="1:96" customFormat="1" ht="17.25" customHeight="1" x14ac:dyDescent="0.35">
      <c r="A309" s="14"/>
      <c r="B309" s="1058"/>
      <c r="C309" s="14" t="s">
        <v>504</v>
      </c>
      <c r="D309" s="14">
        <v>12.096</v>
      </c>
      <c r="E309" s="21" t="s">
        <v>505</v>
      </c>
      <c r="F309" s="120" t="s">
        <v>506</v>
      </c>
      <c r="G309" s="71">
        <v>44562</v>
      </c>
      <c r="H309" s="21" t="s">
        <v>270</v>
      </c>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row>
    <row r="310" spans="1:96" customFormat="1" ht="17.25" customHeight="1" x14ac:dyDescent="0.35">
      <c r="A310" s="14"/>
      <c r="B310" s="1057" t="s">
        <v>355</v>
      </c>
      <c r="C310" s="73" t="s">
        <v>504</v>
      </c>
      <c r="D310" s="73">
        <v>12.096</v>
      </c>
      <c r="E310" s="45" t="s">
        <v>505</v>
      </c>
      <c r="F310" s="129" t="s">
        <v>506</v>
      </c>
      <c r="G310" s="74">
        <v>44562</v>
      </c>
      <c r="H310" s="45" t="s">
        <v>270</v>
      </c>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row>
    <row r="311" spans="1:96" customFormat="1" ht="17.25" customHeight="1" x14ac:dyDescent="0.35">
      <c r="A311" s="14"/>
      <c r="B311" s="1059"/>
      <c r="C311" s="68" t="s">
        <v>507</v>
      </c>
      <c r="D311" s="68">
        <v>194.4</v>
      </c>
      <c r="E311" s="44" t="s">
        <v>670</v>
      </c>
      <c r="F311" s="111" t="s">
        <v>508</v>
      </c>
      <c r="G311" s="96">
        <v>44562</v>
      </c>
      <c r="H311" s="41" t="s">
        <v>288</v>
      </c>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row>
    <row r="312" spans="1:96" customFormat="1" ht="23.25" customHeight="1" x14ac:dyDescent="0.35">
      <c r="A312" s="14"/>
      <c r="B312" s="12" t="s">
        <v>299</v>
      </c>
      <c r="C312" s="35" t="s">
        <v>567</v>
      </c>
      <c r="D312" s="35">
        <v>0.1</v>
      </c>
      <c r="E312" s="43" t="s">
        <v>502</v>
      </c>
      <c r="F312" s="117" t="s">
        <v>671</v>
      </c>
      <c r="G312" s="47">
        <v>44562</v>
      </c>
      <c r="H312" s="43" t="s">
        <v>270</v>
      </c>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row>
    <row r="313" spans="1:96" customFormat="1" ht="19.5" customHeight="1" x14ac:dyDescent="0.55000000000000004">
      <c r="A313" s="14"/>
      <c r="B313" s="29" t="s">
        <v>131</v>
      </c>
      <c r="C313" s="32"/>
      <c r="D313" s="10"/>
      <c r="E313" s="32"/>
      <c r="F313" s="32"/>
      <c r="G313" s="32"/>
      <c r="H313" s="32"/>
      <c r="I313" s="38"/>
      <c r="J313" s="38"/>
      <c r="K313" s="38"/>
      <c r="L313" s="38"/>
      <c r="M313" s="38"/>
      <c r="N313" s="38"/>
      <c r="O313" s="38"/>
      <c r="P313" s="38"/>
      <c r="Q313" s="38"/>
      <c r="R313" s="38"/>
      <c r="S313" s="38"/>
      <c r="T313" s="38"/>
      <c r="U313" s="38"/>
      <c r="V313" s="38"/>
      <c r="W313" s="38"/>
      <c r="X313" s="38"/>
      <c r="Y313" s="38"/>
      <c r="Z313" s="38"/>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row>
    <row r="314" spans="1:96" customFormat="1" x14ac:dyDescent="0.35">
      <c r="A314" s="14"/>
      <c r="B314" s="32" t="s">
        <v>103</v>
      </c>
      <c r="C314" s="32"/>
      <c r="D314" s="10"/>
      <c r="E314" s="32"/>
      <c r="F314" s="32"/>
      <c r="G314" s="32"/>
      <c r="H314" s="32"/>
      <c r="I314" s="38"/>
      <c r="J314" s="38"/>
      <c r="K314" s="38"/>
      <c r="L314" s="38"/>
      <c r="M314" s="38"/>
      <c r="N314" s="38"/>
      <c r="O314" s="38"/>
      <c r="P314" s="38"/>
      <c r="Q314" s="38"/>
      <c r="R314" s="38"/>
      <c r="S314" s="38"/>
      <c r="T314" s="38"/>
      <c r="U314" s="38"/>
      <c r="V314" s="38"/>
      <c r="W314" s="38"/>
      <c r="X314" s="38"/>
      <c r="Y314" s="38"/>
      <c r="Z314" s="38"/>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row>
    <row r="315" spans="1:96" customFormat="1" ht="26.25" customHeight="1" x14ac:dyDescent="0.45">
      <c r="A315" s="14"/>
      <c r="B315" s="51" t="s">
        <v>247</v>
      </c>
      <c r="C315" s="68" t="s">
        <v>672</v>
      </c>
      <c r="D315" s="68">
        <v>0.48</v>
      </c>
      <c r="E315" s="44" t="s">
        <v>241</v>
      </c>
      <c r="F315" s="119" t="s">
        <v>673</v>
      </c>
      <c r="G315" s="48">
        <v>44562</v>
      </c>
      <c r="H315" s="41" t="s">
        <v>270</v>
      </c>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row>
    <row r="316" spans="1:96" customFormat="1" ht="24" customHeight="1" x14ac:dyDescent="0.45">
      <c r="A316" s="14"/>
      <c r="B316" s="63" t="s">
        <v>182</v>
      </c>
      <c r="C316" s="102" t="s">
        <v>674</v>
      </c>
      <c r="D316" s="102">
        <v>1.07</v>
      </c>
      <c r="E316" s="103" t="s">
        <v>241</v>
      </c>
      <c r="F316" s="132" t="s">
        <v>675</v>
      </c>
      <c r="G316" s="78">
        <v>44562</v>
      </c>
      <c r="H316" s="79" t="s">
        <v>270</v>
      </c>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row>
    <row r="317" spans="1:96" customFormat="1" ht="24.75" customHeight="1" x14ac:dyDescent="0.45">
      <c r="A317" s="14"/>
      <c r="B317" s="63" t="s">
        <v>179</v>
      </c>
      <c r="C317" s="102" t="s">
        <v>676</v>
      </c>
      <c r="D317" s="102">
        <v>2.06</v>
      </c>
      <c r="E317" s="103" t="s">
        <v>241</v>
      </c>
      <c r="F317" s="132" t="s">
        <v>677</v>
      </c>
      <c r="G317" s="78">
        <v>44562</v>
      </c>
      <c r="H317" s="79" t="s">
        <v>270</v>
      </c>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row>
    <row r="318" spans="1:96" customFormat="1" ht="24.75" customHeight="1" x14ac:dyDescent="0.45">
      <c r="A318" s="14"/>
      <c r="B318" s="2" t="s">
        <v>180</v>
      </c>
      <c r="C318" s="14" t="s">
        <v>678</v>
      </c>
      <c r="D318" s="14">
        <v>0.77</v>
      </c>
      <c r="E318" s="21" t="s">
        <v>241</v>
      </c>
      <c r="F318" s="120" t="s">
        <v>679</v>
      </c>
      <c r="G318" s="71">
        <v>43831</v>
      </c>
      <c r="H318" s="21" t="s">
        <v>270</v>
      </c>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row>
    <row r="319" spans="1:96" customFormat="1" ht="23.5" x14ac:dyDescent="0.55000000000000004">
      <c r="A319" s="14"/>
      <c r="B319" s="29" t="s">
        <v>137</v>
      </c>
      <c r="C319" s="32"/>
      <c r="D319" s="10"/>
      <c r="E319" s="33"/>
      <c r="F319" s="32"/>
      <c r="G319" s="32"/>
      <c r="H319" s="32"/>
      <c r="I319" s="38"/>
      <c r="J319" s="38"/>
      <c r="K319" s="38"/>
      <c r="L319" s="38"/>
      <c r="M319" s="38"/>
      <c r="N319" s="38"/>
      <c r="O319" s="38"/>
      <c r="P319" s="38"/>
      <c r="Q319" s="38"/>
      <c r="R319" s="38"/>
      <c r="S319" s="38"/>
      <c r="T319" s="38"/>
      <c r="U319" s="38"/>
      <c r="V319" s="38"/>
      <c r="W319" s="38"/>
      <c r="X319" s="38"/>
      <c r="Y319" s="38"/>
      <c r="Z319" s="38"/>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row>
    <row r="320" spans="1:96" customFormat="1" x14ac:dyDescent="0.35">
      <c r="A320" s="14"/>
      <c r="B320" s="32" t="s">
        <v>361</v>
      </c>
      <c r="C320" s="32"/>
      <c r="D320" s="10"/>
      <c r="E320" s="33"/>
      <c r="F320" s="32"/>
      <c r="G320" s="32"/>
      <c r="H320" s="32"/>
      <c r="I320" s="38"/>
      <c r="J320" s="38"/>
      <c r="K320" s="38"/>
      <c r="L320" s="38"/>
      <c r="M320" s="38"/>
      <c r="N320" s="38"/>
      <c r="O320" s="38"/>
      <c r="P320" s="38"/>
      <c r="Q320" s="38"/>
      <c r="R320" s="38"/>
      <c r="S320" s="38"/>
      <c r="T320" s="38"/>
      <c r="U320" s="38"/>
      <c r="V320" s="38"/>
      <c r="W320" s="38"/>
      <c r="X320" s="38"/>
      <c r="Y320" s="38"/>
      <c r="Z320" s="38"/>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row>
    <row r="321" spans="1:96" customFormat="1" ht="21" customHeight="1" x14ac:dyDescent="0.45">
      <c r="A321" s="14"/>
      <c r="B321" s="51" t="s">
        <v>365</v>
      </c>
      <c r="C321" s="68" t="s">
        <v>680</v>
      </c>
      <c r="D321" s="68">
        <v>28</v>
      </c>
      <c r="E321" s="44" t="s">
        <v>241</v>
      </c>
      <c r="F321" s="126" t="s">
        <v>681</v>
      </c>
      <c r="G321" s="72">
        <v>44562</v>
      </c>
      <c r="H321" s="44" t="s">
        <v>270</v>
      </c>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row>
    <row r="322" spans="1:96" customFormat="1" ht="21" customHeight="1" x14ac:dyDescent="0.45">
      <c r="A322" s="14"/>
      <c r="B322" s="63" t="s">
        <v>366</v>
      </c>
      <c r="C322" s="102" t="s">
        <v>682</v>
      </c>
      <c r="D322" s="102">
        <v>0.997</v>
      </c>
      <c r="E322" s="103" t="s">
        <v>241</v>
      </c>
      <c r="F322" s="132" t="s">
        <v>683</v>
      </c>
      <c r="G322" s="105">
        <v>44562</v>
      </c>
      <c r="H322" s="103" t="s">
        <v>270</v>
      </c>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row>
    <row r="323" spans="1:96" customFormat="1" ht="23.25" customHeight="1" x14ac:dyDescent="0.45">
      <c r="A323" s="14"/>
      <c r="B323" s="63" t="s">
        <v>367</v>
      </c>
      <c r="C323" s="102" t="s">
        <v>684</v>
      </c>
      <c r="D323" s="102">
        <v>1.7139</v>
      </c>
      <c r="E323" s="103" t="s">
        <v>241</v>
      </c>
      <c r="F323" s="132" t="s">
        <v>685</v>
      </c>
      <c r="G323" s="105">
        <v>44562</v>
      </c>
      <c r="H323" s="103" t="s">
        <v>270</v>
      </c>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row>
    <row r="324" spans="1:96" customFormat="1" ht="23.5" x14ac:dyDescent="0.55000000000000004">
      <c r="A324" s="14"/>
      <c r="B324" s="29" t="s">
        <v>509</v>
      </c>
      <c r="C324" s="10"/>
      <c r="D324" s="10"/>
      <c r="E324" s="10"/>
      <c r="F324" s="10"/>
      <c r="G324" s="10"/>
      <c r="H324" s="10"/>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row>
    <row r="325" spans="1:96" customFormat="1" x14ac:dyDescent="0.35">
      <c r="A325" s="14"/>
      <c r="B325" s="10"/>
      <c r="C325" s="10"/>
      <c r="D325" s="10"/>
      <c r="E325" s="10"/>
      <c r="F325" s="10"/>
      <c r="G325" s="10"/>
      <c r="H325" s="10"/>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row>
    <row r="326" spans="1:96" ht="39" customHeight="1" x14ac:dyDescent="0.5">
      <c r="B326" s="108"/>
    </row>
    <row r="328" spans="1:96" ht="23.5" x14ac:dyDescent="0.55000000000000004">
      <c r="B328" s="81" t="s">
        <v>36</v>
      </c>
      <c r="C328" s="19"/>
    </row>
    <row r="329" spans="1:96" ht="18.5" x14ac:dyDescent="0.45">
      <c r="B329" s="82" t="s">
        <v>343</v>
      </c>
      <c r="C329" s="10"/>
    </row>
    <row r="330" spans="1:96" x14ac:dyDescent="0.35">
      <c r="B330" s="21" t="s">
        <v>82</v>
      </c>
      <c r="C330" s="21" t="s">
        <v>431</v>
      </c>
    </row>
    <row r="331" spans="1:96" ht="16.5" x14ac:dyDescent="0.35">
      <c r="B331" s="21" t="s">
        <v>94</v>
      </c>
      <c r="C331" s="21" t="s">
        <v>686</v>
      </c>
    </row>
    <row r="332" spans="1:96" x14ac:dyDescent="0.35">
      <c r="B332" s="14">
        <f>Dropdown!H34</f>
        <v>0.12</v>
      </c>
      <c r="C332" s="14">
        <f>Dropdown!I34</f>
        <v>3.6</v>
      </c>
    </row>
    <row r="333" spans="1:96" x14ac:dyDescent="0.35">
      <c r="B333" s="14">
        <f>Dropdown!H35</f>
        <v>0.15</v>
      </c>
      <c r="C333" s="14">
        <f>Dropdown!I35</f>
        <v>7.5</v>
      </c>
    </row>
    <row r="334" spans="1:96" x14ac:dyDescent="0.35">
      <c r="B334" s="14">
        <f>Dropdown!H36</f>
        <v>0.2</v>
      </c>
      <c r="C334" s="14">
        <f>Dropdown!I36</f>
        <v>16</v>
      </c>
    </row>
    <row r="335" spans="1:96" x14ac:dyDescent="0.35">
      <c r="B335" s="14">
        <f>Dropdown!H37</f>
        <v>0.25</v>
      </c>
      <c r="C335" s="14">
        <f>Dropdown!I37</f>
        <v>25</v>
      </c>
    </row>
    <row r="337" spans="2:3" ht="23.5" x14ac:dyDescent="0.55000000000000004">
      <c r="B337" s="81" t="s">
        <v>76</v>
      </c>
      <c r="C337" s="19"/>
    </row>
    <row r="338" spans="2:3" ht="18.5" x14ac:dyDescent="0.45">
      <c r="B338" s="82" t="s">
        <v>343</v>
      </c>
      <c r="C338" s="10"/>
    </row>
    <row r="339" spans="2:3" x14ac:dyDescent="0.35">
      <c r="B339" s="21" t="s">
        <v>82</v>
      </c>
      <c r="C339" s="21" t="s">
        <v>431</v>
      </c>
    </row>
    <row r="340" spans="2:3" ht="16.5" x14ac:dyDescent="0.35">
      <c r="B340" s="21" t="s">
        <v>94</v>
      </c>
      <c r="C340" s="21" t="s">
        <v>686</v>
      </c>
    </row>
    <row r="341" spans="2:3" x14ac:dyDescent="0.35">
      <c r="B341" s="21">
        <f>Dropdown!H42</f>
        <v>0.12</v>
      </c>
      <c r="C341" s="21">
        <f>Dropdown!I42</f>
        <v>7.2</v>
      </c>
    </row>
    <row r="342" spans="2:3" x14ac:dyDescent="0.35">
      <c r="B342" s="21">
        <f>Dropdown!H43</f>
        <v>0.15</v>
      </c>
      <c r="C342" s="21">
        <f>Dropdown!I43</f>
        <v>9</v>
      </c>
    </row>
    <row r="343" spans="2:3" x14ac:dyDescent="0.35">
      <c r="B343" s="21">
        <f>Dropdown!H44</f>
        <v>0.18</v>
      </c>
      <c r="C343" s="21">
        <f>Dropdown!I44</f>
        <v>10.4</v>
      </c>
    </row>
    <row r="344" spans="2:3" x14ac:dyDescent="0.35">
      <c r="B344" s="21">
        <f>Dropdown!H45</f>
        <v>0.2</v>
      </c>
      <c r="C344" s="21">
        <f>Dropdown!I45</f>
        <v>12</v>
      </c>
    </row>
    <row r="346" spans="2:3" ht="23.5" x14ac:dyDescent="0.55000000000000004">
      <c r="B346" s="81" t="s">
        <v>41</v>
      </c>
      <c r="C346" s="19"/>
    </row>
    <row r="347" spans="2:3" ht="18.5" x14ac:dyDescent="0.45">
      <c r="B347" s="82" t="s">
        <v>343</v>
      </c>
      <c r="C347" s="10"/>
    </row>
    <row r="348" spans="2:3" x14ac:dyDescent="0.35">
      <c r="B348" s="21" t="s">
        <v>82</v>
      </c>
      <c r="C348" s="21" t="s">
        <v>431</v>
      </c>
    </row>
    <row r="349" spans="2:3" ht="16.5" x14ac:dyDescent="0.35">
      <c r="B349" s="21" t="s">
        <v>94</v>
      </c>
      <c r="C349" s="21" t="s">
        <v>686</v>
      </c>
    </row>
    <row r="350" spans="2:3" x14ac:dyDescent="0.35">
      <c r="B350" s="21">
        <f>Dropdown!H21</f>
        <v>0.18</v>
      </c>
      <c r="C350" s="21">
        <f>Dropdown!I21</f>
        <v>7.2</v>
      </c>
    </row>
    <row r="351" spans="2:3" x14ac:dyDescent="0.35">
      <c r="B351" s="21">
        <f>Dropdown!H22</f>
        <v>0.22</v>
      </c>
      <c r="C351" s="21">
        <f>Dropdown!I22</f>
        <v>8.8000000000000007</v>
      </c>
    </row>
    <row r="352" spans="2:3" x14ac:dyDescent="0.35">
      <c r="B352" s="21">
        <f>Dropdown!H23</f>
        <v>0.27</v>
      </c>
      <c r="C352" s="21">
        <f>Dropdown!I23</f>
        <v>10.8</v>
      </c>
    </row>
    <row r="353" spans="2:14" x14ac:dyDescent="0.35">
      <c r="B353" s="21">
        <f>Dropdown!H24</f>
        <v>0.32</v>
      </c>
      <c r="C353" s="21">
        <f>Dropdown!I24</f>
        <v>12.8</v>
      </c>
    </row>
    <row r="354" spans="2:14" x14ac:dyDescent="0.35">
      <c r="B354" s="21"/>
      <c r="C354" s="21"/>
    </row>
    <row r="355" spans="2:14" ht="18.5" x14ac:dyDescent="0.45">
      <c r="B355" s="83" t="s">
        <v>336</v>
      </c>
      <c r="C355" s="18"/>
    </row>
    <row r="356" spans="2:14" x14ac:dyDescent="0.35">
      <c r="B356" s="21" t="s">
        <v>82</v>
      </c>
      <c r="C356" s="21" t="s">
        <v>431</v>
      </c>
    </row>
    <row r="357" spans="2:14" ht="16.5" x14ac:dyDescent="0.35">
      <c r="B357" s="21" t="s">
        <v>94</v>
      </c>
      <c r="C357" s="21" t="s">
        <v>686</v>
      </c>
    </row>
    <row r="358" spans="2:14" x14ac:dyDescent="0.35">
      <c r="B358" s="21">
        <f>Dropdown!H28</f>
        <v>0.16</v>
      </c>
      <c r="C358" s="21">
        <f>Dropdown!I28</f>
        <v>20.8</v>
      </c>
    </row>
    <row r="359" spans="2:14" x14ac:dyDescent="0.35">
      <c r="B359" s="21">
        <f>Dropdown!H29</f>
        <v>0.2</v>
      </c>
      <c r="C359" s="21">
        <f>Dropdown!I29</f>
        <v>26</v>
      </c>
    </row>
    <row r="360" spans="2:14" x14ac:dyDescent="0.35">
      <c r="B360" s="21">
        <f>Dropdown!H30</f>
        <v>0.24</v>
      </c>
      <c r="C360" s="21">
        <f>Dropdown!I30</f>
        <v>31.2</v>
      </c>
    </row>
    <row r="362" spans="2:14" ht="34" thickBot="1" x14ac:dyDescent="0.8">
      <c r="B362" s="90" t="s">
        <v>687</v>
      </c>
      <c r="C362" s="8"/>
      <c r="D362" s="1067"/>
      <c r="E362" s="1067"/>
      <c r="F362" s="26"/>
      <c r="G362" s="8"/>
      <c r="H362" s="13"/>
      <c r="I362" s="153" t="s">
        <v>688</v>
      </c>
      <c r="J362" s="154"/>
      <c r="K362" s="154"/>
      <c r="L362" s="154"/>
      <c r="M362" s="154"/>
      <c r="N362" s="155"/>
    </row>
    <row r="363" spans="2:14" ht="18.5" x14ac:dyDescent="0.45">
      <c r="B363" s="135" t="s">
        <v>689</v>
      </c>
      <c r="C363" s="135" t="s">
        <v>690</v>
      </c>
      <c r="D363" s="152" t="s">
        <v>691</v>
      </c>
      <c r="E363" s="152" t="s">
        <v>692</v>
      </c>
      <c r="F363" s="83" t="s">
        <v>693</v>
      </c>
      <c r="G363" s="83" t="s">
        <v>694</v>
      </c>
      <c r="H363" s="106"/>
      <c r="I363" s="1063"/>
      <c r="J363" s="1065" t="s">
        <v>695</v>
      </c>
      <c r="K363" s="1066"/>
      <c r="L363" s="1065" t="s">
        <v>696</v>
      </c>
      <c r="M363" s="1066"/>
      <c r="N363" s="156" t="s">
        <v>697</v>
      </c>
    </row>
    <row r="364" spans="2:14" x14ac:dyDescent="0.35">
      <c r="B364" s="14" t="s">
        <v>698</v>
      </c>
      <c r="C364" s="22">
        <v>33</v>
      </c>
      <c r="D364" s="136">
        <f>(C364*Scenarier!J21)</f>
        <v>13200</v>
      </c>
      <c r="E364" s="137">
        <f>D364</f>
        <v>13200</v>
      </c>
      <c r="F364" s="137">
        <f>E364-G364</f>
        <v>10702.36518448439</v>
      </c>
      <c r="G364" s="137">
        <f>E364*VLOOKUP(Scenarier!$X$11,I365:N371,6,FALSE)</f>
        <v>2497.6348155156102</v>
      </c>
      <c r="I364" s="1064"/>
      <c r="J364" s="157" t="s">
        <v>699</v>
      </c>
      <c r="K364" s="158" t="s">
        <v>22</v>
      </c>
      <c r="L364" s="157" t="s">
        <v>699</v>
      </c>
      <c r="M364" s="158" t="s">
        <v>700</v>
      </c>
      <c r="N364" s="159"/>
    </row>
    <row r="365" spans="2:14" x14ac:dyDescent="0.35">
      <c r="B365" s="14" t="s">
        <v>701</v>
      </c>
      <c r="C365" s="14" t="s">
        <v>702</v>
      </c>
      <c r="D365" s="136">
        <f>(41+1000/Scenarier!J21)*Scenarier!J21</f>
        <v>17400</v>
      </c>
      <c r="E365" s="136">
        <f>(D367-D365)/2+D365</f>
        <v>8700</v>
      </c>
      <c r="F365" s="137">
        <f>D365-G365</f>
        <v>14107.663197729424</v>
      </c>
      <c r="G365" s="137">
        <f>D365*VLOOKUP(Scenarier!$X$11,I365:N371,6,FALSE)</f>
        <v>3292.3368022705772</v>
      </c>
      <c r="I365" s="160" t="s">
        <v>380</v>
      </c>
      <c r="J365" s="160" t="s">
        <v>703</v>
      </c>
      <c r="K365" s="161">
        <f>4000/140</f>
        <v>28.571428571428573</v>
      </c>
      <c r="L365" s="160" t="s">
        <v>704</v>
      </c>
      <c r="M365" s="162">
        <v>151</v>
      </c>
      <c r="N365" s="163">
        <f>K365/M365</f>
        <v>0.1892147587511826</v>
      </c>
    </row>
    <row r="366" spans="2:14" x14ac:dyDescent="0.35">
      <c r="B366" s="1" t="s">
        <v>705</v>
      </c>
      <c r="C366" s="1"/>
      <c r="D366" s="1"/>
      <c r="E366" s="1"/>
      <c r="F366" s="170">
        <f>F365/Scenarier!$J$21</f>
        <v>35.269157994323557</v>
      </c>
      <c r="G366" s="170">
        <f>G365/Scenarier!$J$21</f>
        <v>8.2308420056764433</v>
      </c>
      <c r="I366" s="160" t="s">
        <v>388</v>
      </c>
      <c r="J366" s="160" t="s">
        <v>706</v>
      </c>
      <c r="K366" s="162">
        <v>82</v>
      </c>
      <c r="L366" s="160" t="s">
        <v>707</v>
      </c>
      <c r="M366" s="164">
        <v>139</v>
      </c>
      <c r="N366" s="163">
        <f t="shared" ref="N366:N371" si="0">K366/M366</f>
        <v>0.58992805755395683</v>
      </c>
    </row>
    <row r="367" spans="2:14" x14ac:dyDescent="0.35">
      <c r="D367" s="136"/>
      <c r="E367" s="136"/>
      <c r="F367" s="137"/>
      <c r="G367" s="137"/>
      <c r="I367" s="160" t="s">
        <v>395</v>
      </c>
      <c r="J367" s="160" t="s">
        <v>708</v>
      </c>
      <c r="K367" s="162">
        <v>57</v>
      </c>
      <c r="L367" s="160" t="s">
        <v>709</v>
      </c>
      <c r="M367" s="164">
        <v>180</v>
      </c>
      <c r="N367" s="163">
        <f t="shared" si="0"/>
        <v>0.31666666666666665</v>
      </c>
    </row>
    <row r="368" spans="2:14" x14ac:dyDescent="0.35">
      <c r="D368" s="136"/>
      <c r="E368" s="136"/>
      <c r="F368" s="137"/>
      <c r="G368" s="137"/>
      <c r="I368" s="160" t="s">
        <v>400</v>
      </c>
      <c r="J368" s="160" t="s">
        <v>710</v>
      </c>
      <c r="K368" s="162">
        <v>27</v>
      </c>
      <c r="L368" s="160" t="s">
        <v>711</v>
      </c>
      <c r="M368" s="164">
        <v>129</v>
      </c>
      <c r="N368" s="163">
        <f t="shared" si="0"/>
        <v>0.20930232558139536</v>
      </c>
    </row>
    <row r="369" spans="2:14" x14ac:dyDescent="0.35">
      <c r="D369" s="136"/>
      <c r="E369" s="136"/>
      <c r="F369" s="137"/>
      <c r="G369" s="339"/>
      <c r="I369" s="160" t="s">
        <v>25</v>
      </c>
      <c r="J369" s="160" t="s">
        <v>712</v>
      </c>
      <c r="K369" s="162">
        <v>69</v>
      </c>
      <c r="L369" s="160" t="s">
        <v>713</v>
      </c>
      <c r="M369" s="164">
        <v>155</v>
      </c>
      <c r="N369" s="163">
        <f t="shared" si="0"/>
        <v>0.44516129032258067</v>
      </c>
    </row>
    <row r="370" spans="2:14" x14ac:dyDescent="0.35">
      <c r="D370" s="136"/>
      <c r="E370" s="136"/>
      <c r="F370" s="137"/>
      <c r="G370" s="137"/>
      <c r="I370" s="160" t="s">
        <v>408</v>
      </c>
      <c r="J370" s="160" t="s">
        <v>714</v>
      </c>
      <c r="K370" s="162">
        <v>65</v>
      </c>
      <c r="L370" s="160" t="s">
        <v>715</v>
      </c>
      <c r="M370" s="164">
        <v>111</v>
      </c>
      <c r="N370" s="163">
        <f t="shared" si="0"/>
        <v>0.5855855855855856</v>
      </c>
    </row>
    <row r="371" spans="2:14" x14ac:dyDescent="0.35">
      <c r="D371" s="136"/>
      <c r="E371" s="136"/>
      <c r="F371" s="137"/>
      <c r="G371" s="137"/>
      <c r="I371" s="160" t="s">
        <v>412</v>
      </c>
      <c r="J371" s="160" t="s">
        <v>716</v>
      </c>
      <c r="K371" s="162">
        <v>104</v>
      </c>
      <c r="L371" s="160" t="s">
        <v>717</v>
      </c>
      <c r="M371" s="164">
        <v>159</v>
      </c>
      <c r="N371" s="163">
        <f t="shared" si="0"/>
        <v>0.65408805031446537</v>
      </c>
    </row>
    <row r="372" spans="2:14" x14ac:dyDescent="0.35">
      <c r="D372" s="136"/>
      <c r="E372" s="136"/>
      <c r="F372" s="137"/>
      <c r="G372" s="137"/>
      <c r="I372" s="165" t="s">
        <v>718</v>
      </c>
    </row>
    <row r="373" spans="2:14" ht="42.65" customHeight="1" x14ac:dyDescent="0.35">
      <c r="B373" s="1056" t="s">
        <v>719</v>
      </c>
      <c r="C373" s="1045"/>
      <c r="D373" s="136"/>
      <c r="I373" s="166" t="s">
        <v>720</v>
      </c>
      <c r="M373" s="167"/>
      <c r="N373" s="138"/>
    </row>
    <row r="374" spans="2:14" x14ac:dyDescent="0.35">
      <c r="I374" s="166" t="s">
        <v>721</v>
      </c>
    </row>
  </sheetData>
  <sheetProtection algorithmName="SHA-512" hashValue="8J+w2EOu3qgb7lWr0lunKBzknQfPw/E3h0vZkFI5Fdy5HyVwbC6Ia/lT5YufKaHoYJcP42QYLTLVWFjOKDh+nQ==" saltValue="TWd5nNoboFHfZXBWcljpZw==" spinCount="100000" sheet="1" selectLockedCells="1"/>
  <autoFilter ref="B56:G104" xr:uid="{DEC2164C-7587-40FC-8F8A-2BDD320B0939}"/>
  <mergeCells count="66">
    <mergeCell ref="I363:I364"/>
    <mergeCell ref="J363:K363"/>
    <mergeCell ref="L363:M363"/>
    <mergeCell ref="D362:E362"/>
    <mergeCell ref="B29:H29"/>
    <mergeCell ref="B287:B288"/>
    <mergeCell ref="B304:B305"/>
    <mergeCell ref="B306:B307"/>
    <mergeCell ref="B308:B309"/>
    <mergeCell ref="B249:B252"/>
    <mergeCell ref="B253:B254"/>
    <mergeCell ref="B255:B257"/>
    <mergeCell ref="B258:B260"/>
    <mergeCell ref="B282:B284"/>
    <mergeCell ref="B276:B278"/>
    <mergeCell ref="B279:B281"/>
    <mergeCell ref="B310:B311"/>
    <mergeCell ref="B289:B290"/>
    <mergeCell ref="B291:B292"/>
    <mergeCell ref="B293:B294"/>
    <mergeCell ref="B298:B299"/>
    <mergeCell ref="B300:B301"/>
    <mergeCell ref="B212:B216"/>
    <mergeCell ref="B203:B208"/>
    <mergeCell ref="B271:B275"/>
    <mergeCell ref="B220:B221"/>
    <mergeCell ref="B230:B231"/>
    <mergeCell ref="B236:B240"/>
    <mergeCell ref="B241:B244"/>
    <mergeCell ref="B245:B248"/>
    <mergeCell ref="B183:B184"/>
    <mergeCell ref="B185:B188"/>
    <mergeCell ref="B189:B191"/>
    <mergeCell ref="B192:B195"/>
    <mergeCell ref="B196:B202"/>
    <mergeCell ref="B161:B163"/>
    <mergeCell ref="B164:B167"/>
    <mergeCell ref="B168:B170"/>
    <mergeCell ref="B171:B173"/>
    <mergeCell ref="B179:B180"/>
    <mergeCell ref="B141:B143"/>
    <mergeCell ref="B144:B147"/>
    <mergeCell ref="B148:B153"/>
    <mergeCell ref="B156:B157"/>
    <mergeCell ref="B158:B160"/>
    <mergeCell ref="B123:B124"/>
    <mergeCell ref="B125:B126"/>
    <mergeCell ref="B129:B132"/>
    <mergeCell ref="B133:B136"/>
    <mergeCell ref="B137:B140"/>
    <mergeCell ref="B373:C373"/>
    <mergeCell ref="B91:B94"/>
    <mergeCell ref="B95:B98"/>
    <mergeCell ref="B99:B103"/>
    <mergeCell ref="B59:B60"/>
    <mergeCell ref="B61:B62"/>
    <mergeCell ref="B63:B64"/>
    <mergeCell ref="B65:B68"/>
    <mergeCell ref="B78:B82"/>
    <mergeCell ref="B69:B72"/>
    <mergeCell ref="B73:B77"/>
    <mergeCell ref="B83:B86"/>
    <mergeCell ref="B87:B90"/>
    <mergeCell ref="B115:B117"/>
    <mergeCell ref="B118:B119"/>
    <mergeCell ref="B121:B122"/>
  </mergeCells>
  <conditionalFormatting sqref="G59:G184 G190 G193 G213:G215 G217:G220 G222:G230 G232:G241 G261:G262 G269:G271 G285:G286 G296:G297 G302:G303 G313:G314 G318:G320 G324:G325">
    <cfRule type="iconSet" priority="327">
      <iconSet iconSet="3Symbols">
        <cfvo type="percent" val="0"/>
        <cfvo type="percent" val="33"/>
        <cfvo type="percent" val="67"/>
      </iconSet>
    </cfRule>
  </conditionalFormatting>
  <conditionalFormatting sqref="G59:G323">
    <cfRule type="iconSet" priority="1">
      <iconSet iconSet="3Symbols">
        <cfvo type="percent" val="0"/>
        <cfvo type="percent" val="33"/>
        <cfvo type="percent" val="67"/>
      </iconSet>
    </cfRule>
  </conditionalFormatting>
  <conditionalFormatting sqref="G185">
    <cfRule type="iconSet" priority="95">
      <iconSet iconSet="3Symbols">
        <cfvo type="percent" val="0"/>
        <cfvo type="percent" val="33"/>
        <cfvo type="percent" val="67"/>
      </iconSet>
    </cfRule>
  </conditionalFormatting>
  <conditionalFormatting sqref="G186:G187">
    <cfRule type="iconSet" priority="97">
      <iconSet iconSet="3Symbols">
        <cfvo type="percent" val="0"/>
        <cfvo type="percent" val="33"/>
        <cfvo type="percent" val="67"/>
      </iconSet>
    </cfRule>
  </conditionalFormatting>
  <conditionalFormatting sqref="G188">
    <cfRule type="iconSet" priority="96">
      <iconSet iconSet="3Symbols">
        <cfvo type="percent" val="0"/>
        <cfvo type="percent" val="33"/>
        <cfvo type="percent" val="67"/>
      </iconSet>
    </cfRule>
  </conditionalFormatting>
  <conditionalFormatting sqref="G189">
    <cfRule type="iconSet" priority="94">
      <iconSet iconSet="3Symbols">
        <cfvo type="percent" val="0"/>
        <cfvo type="percent" val="33"/>
        <cfvo type="percent" val="67"/>
      </iconSet>
    </cfRule>
  </conditionalFormatting>
  <conditionalFormatting sqref="G191">
    <cfRule type="iconSet" priority="93">
      <iconSet iconSet="3Symbols">
        <cfvo type="percent" val="0"/>
        <cfvo type="percent" val="33"/>
        <cfvo type="percent" val="67"/>
      </iconSet>
    </cfRule>
  </conditionalFormatting>
  <conditionalFormatting sqref="G192">
    <cfRule type="iconSet" priority="92">
      <iconSet iconSet="3Symbols">
        <cfvo type="percent" val="0"/>
        <cfvo type="percent" val="33"/>
        <cfvo type="percent" val="67"/>
      </iconSet>
    </cfRule>
  </conditionalFormatting>
  <conditionalFormatting sqref="G194">
    <cfRule type="iconSet" priority="90">
      <iconSet iconSet="3Symbols">
        <cfvo type="percent" val="0"/>
        <cfvo type="percent" val="33"/>
        <cfvo type="percent" val="67"/>
      </iconSet>
    </cfRule>
  </conditionalFormatting>
  <conditionalFormatting sqref="G195">
    <cfRule type="iconSet" priority="91">
      <iconSet iconSet="3Symbols">
        <cfvo type="percent" val="0"/>
        <cfvo type="percent" val="33"/>
        <cfvo type="percent" val="67"/>
      </iconSet>
    </cfRule>
  </conditionalFormatting>
  <conditionalFormatting sqref="G196">
    <cfRule type="iconSet" priority="87">
      <iconSet iconSet="3Symbols">
        <cfvo type="percent" val="0"/>
        <cfvo type="percent" val="33"/>
        <cfvo type="percent" val="67"/>
      </iconSet>
    </cfRule>
  </conditionalFormatting>
  <conditionalFormatting sqref="G197:G198">
    <cfRule type="iconSet" priority="82">
      <iconSet iconSet="3Symbols">
        <cfvo type="percent" val="0"/>
        <cfvo type="percent" val="33"/>
        <cfvo type="percent" val="67"/>
      </iconSet>
    </cfRule>
  </conditionalFormatting>
  <conditionalFormatting sqref="G199">
    <cfRule type="iconSet" priority="89">
      <iconSet iconSet="3Symbols">
        <cfvo type="percent" val="0"/>
        <cfvo type="percent" val="33"/>
        <cfvo type="percent" val="67"/>
      </iconSet>
    </cfRule>
  </conditionalFormatting>
  <conditionalFormatting sqref="G200">
    <cfRule type="iconSet" priority="84">
      <iconSet iconSet="3Symbols">
        <cfvo type="percent" val="0"/>
        <cfvo type="percent" val="33"/>
        <cfvo type="percent" val="67"/>
      </iconSet>
    </cfRule>
  </conditionalFormatting>
  <conditionalFormatting sqref="G201">
    <cfRule type="iconSet" priority="88">
      <iconSet iconSet="3Symbols">
        <cfvo type="percent" val="0"/>
        <cfvo type="percent" val="33"/>
        <cfvo type="percent" val="67"/>
      </iconSet>
    </cfRule>
  </conditionalFormatting>
  <conditionalFormatting sqref="G202">
    <cfRule type="iconSet" priority="83">
      <iconSet iconSet="3Symbols">
        <cfvo type="percent" val="0"/>
        <cfvo type="percent" val="33"/>
        <cfvo type="percent" val="67"/>
      </iconSet>
    </cfRule>
  </conditionalFormatting>
  <conditionalFormatting sqref="G203">
    <cfRule type="iconSet" priority="81">
      <iconSet iconSet="3Symbols">
        <cfvo type="percent" val="0"/>
        <cfvo type="percent" val="33"/>
        <cfvo type="percent" val="67"/>
      </iconSet>
    </cfRule>
  </conditionalFormatting>
  <conditionalFormatting sqref="G204">
    <cfRule type="iconSet" priority="80">
      <iconSet iconSet="3Symbols">
        <cfvo type="percent" val="0"/>
        <cfvo type="percent" val="33"/>
        <cfvo type="percent" val="67"/>
      </iconSet>
    </cfRule>
  </conditionalFormatting>
  <conditionalFormatting sqref="G205">
    <cfRule type="iconSet" priority="79">
      <iconSet iconSet="3Symbols">
        <cfvo type="percent" val="0"/>
        <cfvo type="percent" val="33"/>
        <cfvo type="percent" val="67"/>
      </iconSet>
    </cfRule>
  </conditionalFormatting>
  <conditionalFormatting sqref="G206:G207">
    <cfRule type="iconSet" priority="78">
      <iconSet iconSet="3Symbols">
        <cfvo type="percent" val="0"/>
        <cfvo type="percent" val="33"/>
        <cfvo type="percent" val="67"/>
      </iconSet>
    </cfRule>
  </conditionalFormatting>
  <conditionalFormatting sqref="G208">
    <cfRule type="iconSet" priority="77">
      <iconSet iconSet="3Symbols">
        <cfvo type="percent" val="0"/>
        <cfvo type="percent" val="33"/>
        <cfvo type="percent" val="67"/>
      </iconSet>
    </cfRule>
  </conditionalFormatting>
  <conditionalFormatting sqref="G209:G210">
    <cfRule type="iconSet" priority="76">
      <iconSet iconSet="3Symbols">
        <cfvo type="percent" val="0"/>
        <cfvo type="percent" val="33"/>
        <cfvo type="percent" val="67"/>
      </iconSet>
    </cfRule>
  </conditionalFormatting>
  <conditionalFormatting sqref="G211">
    <cfRule type="iconSet" priority="75">
      <iconSet iconSet="3Symbols">
        <cfvo type="percent" val="0"/>
        <cfvo type="percent" val="33"/>
        <cfvo type="percent" val="67"/>
      </iconSet>
    </cfRule>
  </conditionalFormatting>
  <conditionalFormatting sqref="G212">
    <cfRule type="iconSet" priority="99">
      <iconSet iconSet="3Symbols">
        <cfvo type="percent" val="0"/>
        <cfvo type="percent" val="33"/>
        <cfvo type="percent" val="67"/>
      </iconSet>
    </cfRule>
  </conditionalFormatting>
  <conditionalFormatting sqref="G216">
    <cfRule type="iconSet" priority="98">
      <iconSet iconSet="3Symbols">
        <cfvo type="percent" val="0"/>
        <cfvo type="percent" val="33"/>
        <cfvo type="percent" val="67"/>
      </iconSet>
    </cfRule>
  </conditionalFormatting>
  <conditionalFormatting sqref="G221">
    <cfRule type="iconSet" priority="74">
      <iconSet iconSet="3Symbols">
        <cfvo type="percent" val="0"/>
        <cfvo type="percent" val="33"/>
        <cfvo type="percent" val="67"/>
      </iconSet>
    </cfRule>
  </conditionalFormatting>
  <conditionalFormatting sqref="G231">
    <cfRule type="iconSet" priority="72">
      <iconSet iconSet="3Symbols">
        <cfvo type="percent" val="0"/>
        <cfvo type="percent" val="33"/>
        <cfvo type="percent" val="67"/>
      </iconSet>
    </cfRule>
  </conditionalFormatting>
  <conditionalFormatting sqref="G242">
    <cfRule type="iconSet" priority="69">
      <iconSet iconSet="3Symbols">
        <cfvo type="percent" val="0"/>
        <cfvo type="percent" val="33"/>
        <cfvo type="percent" val="67"/>
      </iconSet>
    </cfRule>
  </conditionalFormatting>
  <conditionalFormatting sqref="G243">
    <cfRule type="iconSet" priority="70">
      <iconSet iconSet="3Symbols">
        <cfvo type="percent" val="0"/>
        <cfvo type="percent" val="33"/>
        <cfvo type="percent" val="67"/>
      </iconSet>
    </cfRule>
  </conditionalFormatting>
  <conditionalFormatting sqref="G244">
    <cfRule type="iconSet" priority="71">
      <iconSet iconSet="3Symbols">
        <cfvo type="percent" val="0"/>
        <cfvo type="percent" val="33"/>
        <cfvo type="percent" val="67"/>
      </iconSet>
    </cfRule>
  </conditionalFormatting>
  <conditionalFormatting sqref="G245">
    <cfRule type="iconSet" priority="68">
      <iconSet iconSet="3Symbols">
        <cfvo type="percent" val="0"/>
        <cfvo type="percent" val="33"/>
        <cfvo type="percent" val="67"/>
      </iconSet>
    </cfRule>
  </conditionalFormatting>
  <conditionalFormatting sqref="G246">
    <cfRule type="iconSet" priority="67">
      <iconSet iconSet="3Symbols">
        <cfvo type="percent" val="0"/>
        <cfvo type="percent" val="33"/>
        <cfvo type="percent" val="67"/>
      </iconSet>
    </cfRule>
  </conditionalFormatting>
  <conditionalFormatting sqref="G247">
    <cfRule type="iconSet" priority="66">
      <iconSet iconSet="3Symbols">
        <cfvo type="percent" val="0"/>
        <cfvo type="percent" val="33"/>
        <cfvo type="percent" val="67"/>
      </iconSet>
    </cfRule>
  </conditionalFormatting>
  <conditionalFormatting sqref="G248">
    <cfRule type="iconSet" priority="65">
      <iconSet iconSet="3Symbols">
        <cfvo type="percent" val="0"/>
        <cfvo type="percent" val="33"/>
        <cfvo type="percent" val="67"/>
      </iconSet>
    </cfRule>
  </conditionalFormatting>
  <conditionalFormatting sqref="G249">
    <cfRule type="iconSet" priority="61">
      <iconSet iconSet="3Symbols">
        <cfvo type="percent" val="0"/>
        <cfvo type="percent" val="33"/>
        <cfvo type="percent" val="67"/>
      </iconSet>
    </cfRule>
  </conditionalFormatting>
  <conditionalFormatting sqref="G250">
    <cfRule type="iconSet" priority="63">
      <iconSet iconSet="3Symbols">
        <cfvo type="percent" val="0"/>
        <cfvo type="percent" val="33"/>
        <cfvo type="percent" val="67"/>
      </iconSet>
    </cfRule>
  </conditionalFormatting>
  <conditionalFormatting sqref="G251">
    <cfRule type="iconSet" priority="64">
      <iconSet iconSet="3Symbols">
        <cfvo type="percent" val="0"/>
        <cfvo type="percent" val="33"/>
        <cfvo type="percent" val="67"/>
      </iconSet>
    </cfRule>
  </conditionalFormatting>
  <conditionalFormatting sqref="G252">
    <cfRule type="iconSet" priority="62">
      <iconSet iconSet="3Symbols">
        <cfvo type="percent" val="0"/>
        <cfvo type="percent" val="33"/>
        <cfvo type="percent" val="67"/>
      </iconSet>
    </cfRule>
  </conditionalFormatting>
  <conditionalFormatting sqref="G253">
    <cfRule type="iconSet" priority="60">
      <iconSet iconSet="3Symbols">
        <cfvo type="percent" val="0"/>
        <cfvo type="percent" val="33"/>
        <cfvo type="percent" val="67"/>
      </iconSet>
    </cfRule>
  </conditionalFormatting>
  <conditionalFormatting sqref="G254">
    <cfRule type="iconSet" priority="59">
      <iconSet iconSet="3Symbols">
        <cfvo type="percent" val="0"/>
        <cfvo type="percent" val="33"/>
        <cfvo type="percent" val="67"/>
      </iconSet>
    </cfRule>
  </conditionalFormatting>
  <conditionalFormatting sqref="G255">
    <cfRule type="iconSet" priority="56">
      <iconSet iconSet="3Symbols">
        <cfvo type="percent" val="0"/>
        <cfvo type="percent" val="33"/>
        <cfvo type="percent" val="67"/>
      </iconSet>
    </cfRule>
  </conditionalFormatting>
  <conditionalFormatting sqref="G256">
    <cfRule type="iconSet" priority="57">
      <iconSet iconSet="3Symbols">
        <cfvo type="percent" val="0"/>
        <cfvo type="percent" val="33"/>
        <cfvo type="percent" val="67"/>
      </iconSet>
    </cfRule>
  </conditionalFormatting>
  <conditionalFormatting sqref="G257">
    <cfRule type="iconSet" priority="58">
      <iconSet iconSet="3Symbols">
        <cfvo type="percent" val="0"/>
        <cfvo type="percent" val="33"/>
        <cfvo type="percent" val="67"/>
      </iconSet>
    </cfRule>
  </conditionalFormatting>
  <conditionalFormatting sqref="G258">
    <cfRule type="iconSet" priority="53">
      <iconSet iconSet="3Symbols">
        <cfvo type="percent" val="0"/>
        <cfvo type="percent" val="33"/>
        <cfvo type="percent" val="67"/>
      </iconSet>
    </cfRule>
  </conditionalFormatting>
  <conditionalFormatting sqref="G259">
    <cfRule type="iconSet" priority="54">
      <iconSet iconSet="3Symbols">
        <cfvo type="percent" val="0"/>
        <cfvo type="percent" val="33"/>
        <cfvo type="percent" val="67"/>
      </iconSet>
    </cfRule>
  </conditionalFormatting>
  <conditionalFormatting sqref="G260">
    <cfRule type="iconSet" priority="55">
      <iconSet iconSet="3Symbols">
        <cfvo type="percent" val="0"/>
        <cfvo type="percent" val="33"/>
        <cfvo type="percent" val="67"/>
      </iconSet>
    </cfRule>
  </conditionalFormatting>
  <conditionalFormatting sqref="G263">
    <cfRule type="iconSet" priority="52">
      <iconSet iconSet="3Symbols">
        <cfvo type="percent" val="0"/>
        <cfvo type="percent" val="33"/>
        <cfvo type="percent" val="67"/>
      </iconSet>
    </cfRule>
  </conditionalFormatting>
  <conditionalFormatting sqref="G264">
    <cfRule type="iconSet" priority="51">
      <iconSet iconSet="3Symbols">
        <cfvo type="percent" val="0"/>
        <cfvo type="percent" val="33"/>
        <cfvo type="percent" val="67"/>
      </iconSet>
    </cfRule>
  </conditionalFormatting>
  <conditionalFormatting sqref="G265">
    <cfRule type="iconSet" priority="50">
      <iconSet iconSet="3Symbols">
        <cfvo type="percent" val="0"/>
        <cfvo type="percent" val="33"/>
        <cfvo type="percent" val="67"/>
      </iconSet>
    </cfRule>
  </conditionalFormatting>
  <conditionalFormatting sqref="G266">
    <cfRule type="iconSet" priority="49">
      <iconSet iconSet="3Symbols">
        <cfvo type="percent" val="0"/>
        <cfvo type="percent" val="33"/>
        <cfvo type="percent" val="67"/>
      </iconSet>
    </cfRule>
  </conditionalFormatting>
  <conditionalFormatting sqref="G267">
    <cfRule type="iconSet" priority="48">
      <iconSet iconSet="3Symbols">
        <cfvo type="percent" val="0"/>
        <cfvo type="percent" val="33"/>
        <cfvo type="percent" val="67"/>
      </iconSet>
    </cfRule>
  </conditionalFormatting>
  <conditionalFormatting sqref="G268">
    <cfRule type="iconSet" priority="47">
      <iconSet iconSet="3Symbols">
        <cfvo type="percent" val="0"/>
        <cfvo type="percent" val="33"/>
        <cfvo type="percent" val="67"/>
      </iconSet>
    </cfRule>
  </conditionalFormatting>
  <conditionalFormatting sqref="G272">
    <cfRule type="iconSet" priority="45">
      <iconSet iconSet="3Symbols">
        <cfvo type="percent" val="0"/>
        <cfvo type="percent" val="33"/>
        <cfvo type="percent" val="67"/>
      </iconSet>
    </cfRule>
  </conditionalFormatting>
  <conditionalFormatting sqref="G273">
    <cfRule type="iconSet" priority="44">
      <iconSet iconSet="3Symbols">
        <cfvo type="percent" val="0"/>
        <cfvo type="percent" val="33"/>
        <cfvo type="percent" val="67"/>
      </iconSet>
    </cfRule>
  </conditionalFormatting>
  <conditionalFormatting sqref="G274">
    <cfRule type="iconSet" priority="42">
      <iconSet iconSet="3Symbols">
        <cfvo type="percent" val="0"/>
        <cfvo type="percent" val="33"/>
        <cfvo type="percent" val="67"/>
      </iconSet>
    </cfRule>
  </conditionalFormatting>
  <conditionalFormatting sqref="G275">
    <cfRule type="iconSet" priority="39">
      <iconSet iconSet="3Symbols">
        <cfvo type="percent" val="0"/>
        <cfvo type="percent" val="33"/>
        <cfvo type="percent" val="67"/>
      </iconSet>
    </cfRule>
  </conditionalFormatting>
  <conditionalFormatting sqref="G276">
    <cfRule type="iconSet" priority="41">
      <iconSet iconSet="3Symbols">
        <cfvo type="percent" val="0"/>
        <cfvo type="percent" val="33"/>
        <cfvo type="percent" val="67"/>
      </iconSet>
    </cfRule>
  </conditionalFormatting>
  <conditionalFormatting sqref="G277">
    <cfRule type="iconSet" priority="40">
      <iconSet iconSet="3Symbols">
        <cfvo type="percent" val="0"/>
        <cfvo type="percent" val="33"/>
        <cfvo type="percent" val="67"/>
      </iconSet>
    </cfRule>
  </conditionalFormatting>
  <conditionalFormatting sqref="G278">
    <cfRule type="iconSet" priority="38">
      <iconSet iconSet="3Symbols">
        <cfvo type="percent" val="0"/>
        <cfvo type="percent" val="33"/>
        <cfvo type="percent" val="67"/>
      </iconSet>
    </cfRule>
  </conditionalFormatting>
  <conditionalFormatting sqref="G279">
    <cfRule type="iconSet" priority="46">
      <iconSet iconSet="3Symbols">
        <cfvo type="percent" val="0"/>
        <cfvo type="percent" val="33"/>
        <cfvo type="percent" val="67"/>
      </iconSet>
    </cfRule>
  </conditionalFormatting>
  <conditionalFormatting sqref="G280">
    <cfRule type="iconSet" priority="43">
      <iconSet iconSet="3Symbols">
        <cfvo type="percent" val="0"/>
        <cfvo type="percent" val="33"/>
        <cfvo type="percent" val="67"/>
      </iconSet>
    </cfRule>
  </conditionalFormatting>
  <conditionalFormatting sqref="G281">
    <cfRule type="iconSet" priority="36">
      <iconSet iconSet="3Symbols">
        <cfvo type="percent" val="0"/>
        <cfvo type="percent" val="33"/>
        <cfvo type="percent" val="67"/>
      </iconSet>
    </cfRule>
  </conditionalFormatting>
  <conditionalFormatting sqref="G282">
    <cfRule type="iconSet" priority="35">
      <iconSet iconSet="3Symbols">
        <cfvo type="percent" val="0"/>
        <cfvo type="percent" val="33"/>
        <cfvo type="percent" val="67"/>
      </iconSet>
    </cfRule>
  </conditionalFormatting>
  <conditionalFormatting sqref="G283">
    <cfRule type="iconSet" priority="34">
      <iconSet iconSet="3Symbols">
        <cfvo type="percent" val="0"/>
        <cfvo type="percent" val="33"/>
        <cfvo type="percent" val="67"/>
      </iconSet>
    </cfRule>
  </conditionalFormatting>
  <conditionalFormatting sqref="G284">
    <cfRule type="iconSet" priority="37">
      <iconSet iconSet="3Symbols">
        <cfvo type="percent" val="0"/>
        <cfvo type="percent" val="33"/>
        <cfvo type="percent" val="67"/>
      </iconSet>
    </cfRule>
  </conditionalFormatting>
  <conditionalFormatting sqref="G287">
    <cfRule type="iconSet" priority="33">
      <iconSet iconSet="3Symbols">
        <cfvo type="percent" val="0"/>
        <cfvo type="percent" val="33"/>
        <cfvo type="percent" val="67"/>
      </iconSet>
    </cfRule>
  </conditionalFormatting>
  <conditionalFormatting sqref="G288">
    <cfRule type="iconSet" priority="32">
      <iconSet iconSet="3Symbols">
        <cfvo type="percent" val="0"/>
        <cfvo type="percent" val="33"/>
        <cfvo type="percent" val="67"/>
      </iconSet>
    </cfRule>
  </conditionalFormatting>
  <conditionalFormatting sqref="G289">
    <cfRule type="iconSet" priority="31">
      <iconSet iconSet="3Symbols">
        <cfvo type="percent" val="0"/>
        <cfvo type="percent" val="33"/>
        <cfvo type="percent" val="67"/>
      </iconSet>
    </cfRule>
  </conditionalFormatting>
  <conditionalFormatting sqref="G290">
    <cfRule type="iconSet" priority="30">
      <iconSet iconSet="3Symbols">
        <cfvo type="percent" val="0"/>
        <cfvo type="percent" val="33"/>
        <cfvo type="percent" val="67"/>
      </iconSet>
    </cfRule>
  </conditionalFormatting>
  <conditionalFormatting sqref="G291">
    <cfRule type="iconSet" priority="27">
      <iconSet iconSet="3Symbols">
        <cfvo type="percent" val="0"/>
        <cfvo type="percent" val="33"/>
        <cfvo type="percent" val="67"/>
      </iconSet>
    </cfRule>
  </conditionalFormatting>
  <conditionalFormatting sqref="G292">
    <cfRule type="iconSet" priority="29">
      <iconSet iconSet="3Symbols">
        <cfvo type="percent" val="0"/>
        <cfvo type="percent" val="33"/>
        <cfvo type="percent" val="67"/>
      </iconSet>
    </cfRule>
  </conditionalFormatting>
  <conditionalFormatting sqref="G293">
    <cfRule type="iconSet" priority="28">
      <iconSet iconSet="3Symbols">
        <cfvo type="percent" val="0"/>
        <cfvo type="percent" val="33"/>
        <cfvo type="percent" val="67"/>
      </iconSet>
    </cfRule>
  </conditionalFormatting>
  <conditionalFormatting sqref="G294">
    <cfRule type="iconSet" priority="26">
      <iconSet iconSet="3Symbols">
        <cfvo type="percent" val="0"/>
        <cfvo type="percent" val="33"/>
        <cfvo type="percent" val="67"/>
      </iconSet>
    </cfRule>
  </conditionalFormatting>
  <conditionalFormatting sqref="G295">
    <cfRule type="iconSet" priority="25">
      <iconSet iconSet="3Symbols">
        <cfvo type="percent" val="0"/>
        <cfvo type="percent" val="33"/>
        <cfvo type="percent" val="67"/>
      </iconSet>
    </cfRule>
  </conditionalFormatting>
  <conditionalFormatting sqref="G298">
    <cfRule type="iconSet" priority="21">
      <iconSet iconSet="3Symbols">
        <cfvo type="percent" val="0"/>
        <cfvo type="percent" val="33"/>
        <cfvo type="percent" val="67"/>
      </iconSet>
    </cfRule>
  </conditionalFormatting>
  <conditionalFormatting sqref="G299">
    <cfRule type="iconSet" priority="22">
      <iconSet iconSet="3Symbols">
        <cfvo type="percent" val="0"/>
        <cfvo type="percent" val="33"/>
        <cfvo type="percent" val="67"/>
      </iconSet>
    </cfRule>
  </conditionalFormatting>
  <conditionalFormatting sqref="G300">
    <cfRule type="iconSet" priority="24">
      <iconSet iconSet="3Symbols">
        <cfvo type="percent" val="0"/>
        <cfvo type="percent" val="33"/>
        <cfvo type="percent" val="67"/>
      </iconSet>
    </cfRule>
  </conditionalFormatting>
  <conditionalFormatting sqref="G301">
    <cfRule type="iconSet" priority="23">
      <iconSet iconSet="3Symbols">
        <cfvo type="percent" val="0"/>
        <cfvo type="percent" val="33"/>
        <cfvo type="percent" val="67"/>
      </iconSet>
    </cfRule>
  </conditionalFormatting>
  <conditionalFormatting sqref="G304">
    <cfRule type="iconSet" priority="20">
      <iconSet iconSet="3Symbols">
        <cfvo type="percent" val="0"/>
        <cfvo type="percent" val="33"/>
        <cfvo type="percent" val="67"/>
      </iconSet>
    </cfRule>
  </conditionalFormatting>
  <conditionalFormatting sqref="G305">
    <cfRule type="iconSet" priority="19">
      <iconSet iconSet="3Symbols">
        <cfvo type="percent" val="0"/>
        <cfvo type="percent" val="33"/>
        <cfvo type="percent" val="67"/>
      </iconSet>
    </cfRule>
  </conditionalFormatting>
  <conditionalFormatting sqref="G306">
    <cfRule type="iconSet" priority="18">
      <iconSet iconSet="3Symbols">
        <cfvo type="percent" val="0"/>
        <cfvo type="percent" val="33"/>
        <cfvo type="percent" val="67"/>
      </iconSet>
    </cfRule>
  </conditionalFormatting>
  <conditionalFormatting sqref="G307">
    <cfRule type="iconSet" priority="17">
      <iconSet iconSet="3Symbols">
        <cfvo type="percent" val="0"/>
        <cfvo type="percent" val="33"/>
        <cfvo type="percent" val="67"/>
      </iconSet>
    </cfRule>
  </conditionalFormatting>
  <conditionalFormatting sqref="G308">
    <cfRule type="iconSet" priority="14">
      <iconSet iconSet="3Symbols">
        <cfvo type="percent" val="0"/>
        <cfvo type="percent" val="33"/>
        <cfvo type="percent" val="67"/>
      </iconSet>
    </cfRule>
  </conditionalFormatting>
  <conditionalFormatting sqref="G309">
    <cfRule type="iconSet" priority="16">
      <iconSet iconSet="3Symbols">
        <cfvo type="percent" val="0"/>
        <cfvo type="percent" val="33"/>
        <cfvo type="percent" val="67"/>
      </iconSet>
    </cfRule>
  </conditionalFormatting>
  <conditionalFormatting sqref="G310">
    <cfRule type="iconSet" priority="15">
      <iconSet iconSet="3Symbols">
        <cfvo type="percent" val="0"/>
        <cfvo type="percent" val="33"/>
        <cfvo type="percent" val="67"/>
      </iconSet>
    </cfRule>
  </conditionalFormatting>
  <conditionalFormatting sqref="G311">
    <cfRule type="iconSet" priority="13">
      <iconSet iconSet="3Symbols">
        <cfvo type="percent" val="0"/>
        <cfvo type="percent" val="33"/>
        <cfvo type="percent" val="67"/>
      </iconSet>
    </cfRule>
  </conditionalFormatting>
  <conditionalFormatting sqref="G312">
    <cfRule type="iconSet" priority="12">
      <iconSet iconSet="3Symbols">
        <cfvo type="percent" val="0"/>
        <cfvo type="percent" val="33"/>
        <cfvo type="percent" val="67"/>
      </iconSet>
    </cfRule>
  </conditionalFormatting>
  <conditionalFormatting sqref="G315">
    <cfRule type="iconSet" priority="11">
      <iconSet iconSet="3Symbols">
        <cfvo type="percent" val="0"/>
        <cfvo type="percent" val="33"/>
        <cfvo type="percent" val="67"/>
      </iconSet>
    </cfRule>
  </conditionalFormatting>
  <conditionalFormatting sqref="G316">
    <cfRule type="iconSet" priority="10">
      <iconSet iconSet="3Symbols">
        <cfvo type="percent" val="0"/>
        <cfvo type="percent" val="33"/>
        <cfvo type="percent" val="67"/>
      </iconSet>
    </cfRule>
  </conditionalFormatting>
  <conditionalFormatting sqref="G317">
    <cfRule type="iconSet" priority="9">
      <iconSet iconSet="3Symbols">
        <cfvo type="percent" val="0"/>
        <cfvo type="percent" val="33"/>
        <cfvo type="percent" val="67"/>
      </iconSet>
    </cfRule>
  </conditionalFormatting>
  <conditionalFormatting sqref="G321">
    <cfRule type="iconSet" priority="3">
      <iconSet iconSet="3Symbols">
        <cfvo type="percent" val="0"/>
        <cfvo type="percent" val="33"/>
        <cfvo type="percent" val="67"/>
      </iconSet>
    </cfRule>
    <cfRule type="iconSet" priority="8">
      <iconSet iconSet="3Symbols">
        <cfvo type="percent" val="0"/>
        <cfvo type="percent" val="33"/>
        <cfvo type="percent" val="67"/>
      </iconSet>
    </cfRule>
  </conditionalFormatting>
  <conditionalFormatting sqref="G322">
    <cfRule type="iconSet" priority="4">
      <iconSet iconSet="3Symbols">
        <cfvo type="percent" val="0"/>
        <cfvo type="percent" val="33"/>
        <cfvo type="percent" val="67"/>
      </iconSet>
    </cfRule>
    <cfRule type="iconSet" priority="7">
      <iconSet iconSet="3Symbols">
        <cfvo type="percent" val="0"/>
        <cfvo type="percent" val="33"/>
        <cfvo type="percent" val="67"/>
      </iconSet>
    </cfRule>
  </conditionalFormatting>
  <conditionalFormatting sqref="G323">
    <cfRule type="iconSet" priority="6">
      <iconSet iconSet="3Symbols">
        <cfvo type="percent" val="0"/>
        <cfvo type="percent" val="33"/>
        <cfvo type="percent" val="67"/>
      </iconSet>
    </cfRule>
  </conditionalFormatting>
  <hyperlinks>
    <hyperlink ref="F69" r:id="rId1" display="https://www.oekobaudat.de/OEKOBAU.DAT/datasetdetail/process.xhtml?uuid=b9c775be-d100-4d35-bdf3-c5964e655692&amp;version=20.19.120" xr:uid="{D5B5ED80-1481-4ED9-BA34-19A735EDF668}"/>
    <hyperlink ref="F72" r:id="rId2" xr:uid="{537829D7-46FD-42E2-BBA1-DD3B7C57170D}"/>
    <hyperlink ref="F73" r:id="rId3" display="https://www.oekobaudat.de/OEKOBAU.DAT/datasetdetail/process.xhtml?uuid=a4c1c27c-53a0-4027-83f6-88c52c758bb1&amp;version=20.19.120" xr:uid="{1256EDE9-E5E7-490B-913F-3E23D35F3636}"/>
    <hyperlink ref="F74" r:id="rId4" xr:uid="{CBFDA1E9-DF62-4488-BE36-104F12DA904C}"/>
    <hyperlink ref="F77" r:id="rId5" display="https://www.oekobaudat.de/OEKOBAU.DAT/datasetdetail/process.xhtml?uuid=b9c775be-d100-4d35-bdf3-c5964e655692&amp;version=20.19.120" xr:uid="{D97AFA85-A821-44A1-B7BD-E5072897A64B}"/>
    <hyperlink ref="F78" r:id="rId6" xr:uid="{1910C540-F24A-4C79-BF1F-B43FEB3121CC}"/>
    <hyperlink ref="F79" r:id="rId7" xr:uid="{AAB51242-7990-4AEF-97B3-AB0A7C955E2B}"/>
    <hyperlink ref="F82" r:id="rId8" display="https://www.oekobaudat.de/OEKOBAU.DAT/datasetdetail/process.xhtml?uuid=b9c775be-d100-4d35-bdf3-c5964e655692&amp;version=20.19.120" xr:uid="{2BBA4FD7-D367-43A7-A2FE-F00868473E53}"/>
    <hyperlink ref="F81" r:id="rId9" xr:uid="{8E4C93D9-EAB4-4569-A723-18305F5495E2}"/>
    <hyperlink ref="F80" r:id="rId10" xr:uid="{F29A0821-2BC8-4504-B21A-4AB14DB6B17A}"/>
    <hyperlink ref="F84" r:id="rId11" display="https://www.oekobaudat.de/OEKOBAU.DAT/datasetdetail/process.xhtml?uuid=b9c775be-d100-4d35-bdf3-c5964e655692&amp;version=20.19.120" xr:uid="{7443BB3B-0C67-44DC-949F-B7857C014FF3}"/>
    <hyperlink ref="F85" r:id="rId12" xr:uid="{F15055FE-6140-466A-9BF4-3E889F7A4A05}"/>
    <hyperlink ref="F87" r:id="rId13" xr:uid="{F37E3B0D-B6C2-4E30-8F2A-D0074570D615}"/>
    <hyperlink ref="F89" r:id="rId14" xr:uid="{A68938B9-C2E1-4880-B394-8DB13C744284}"/>
    <hyperlink ref="F90" r:id="rId15" display="https://www.oekobaudat.de/OEKOBAU.DAT/datasetdetail/process.xhtml?uuid=b9c775be-d100-4d35-bdf3-c5964e655692&amp;version=20.19.120" xr:uid="{89B72449-DA88-4F43-A89C-9D66E3B894B5}"/>
    <hyperlink ref="F91" r:id="rId16" xr:uid="{0B3571AE-BA86-4BFD-8D6F-58F0BCCFAD53}"/>
    <hyperlink ref="F94" r:id="rId17" display="https://www.oekobaudat.de/OEKOBAU.DAT/datasetdetail/process.xhtml?uuid=b9c775be-d100-4d35-bdf3-c5964e655692&amp;version=20.19.120" xr:uid="{58C769C3-E0F6-4E0D-ACF2-6353B70B5EC3}"/>
    <hyperlink ref="F95" r:id="rId18" xr:uid="{1FF51345-FDA9-4175-8251-489006C1E3FA}"/>
    <hyperlink ref="F97" r:id="rId19" xr:uid="{E33B0BB7-DD70-4012-9731-579C780D021F}"/>
    <hyperlink ref="F98" r:id="rId20" display="https://www.oekobaudat.de/OEKOBAU.DAT/datasetdetail/process.xhtml?uuid=b9c775be-d100-4d35-bdf3-c5964e655692&amp;version=20.19.120" xr:uid="{417F60C5-6AD2-4C89-825B-47D30719F042}"/>
    <hyperlink ref="F99" r:id="rId21" xr:uid="{F318FB70-96FE-4A0E-9113-693BE028CB30}"/>
    <hyperlink ref="F103" r:id="rId22" display="https://www.oekobaudat.de/OEKOBAU.DAT/datasetdetail/process.xhtml?uuid=b9c775be-d100-4d35-bdf3-c5964e655692&amp;version=20.19.120" xr:uid="{652CB22A-2602-47C9-B12F-A01FEAE819C0}"/>
    <hyperlink ref="F101" r:id="rId23" xr:uid="{FA724236-02B7-4016-88A3-D4A77BB3EF2F}"/>
    <hyperlink ref="F64" r:id="rId24" xr:uid="{2A02F04E-33E6-4734-A4BF-79BD1C1BB22D}"/>
    <hyperlink ref="F68" r:id="rId25" xr:uid="{BE4937CB-64B4-4207-89D6-84BC2CAE067A}"/>
    <hyperlink ref="F67" r:id="rId26" xr:uid="{E0883441-D04E-4C53-B1F2-FCA0724ED582}"/>
    <hyperlink ref="F65" r:id="rId27" xr:uid="{7E32854C-966A-4201-A05D-7DA5BDDC987E}"/>
    <hyperlink ref="F106" r:id="rId28" xr:uid="{59A54DFD-80D9-41C9-89CA-E7789069E9FD}"/>
    <hyperlink ref="F107" r:id="rId29" xr:uid="{59B9D142-8E3A-4467-A1F7-832DB4C2C6CC}"/>
    <hyperlink ref="F108" r:id="rId30" xr:uid="{C27C1C46-707C-4EF7-978F-69F740D420C9}"/>
    <hyperlink ref="F109" r:id="rId31" xr:uid="{4BD26B39-D967-4D5D-9B09-A13CDCA6E876}"/>
    <hyperlink ref="F110" r:id="rId32" xr:uid="{CDDE93F5-02F7-4FD2-8A68-39A33C2E3598}"/>
    <hyperlink ref="F111" r:id="rId33" xr:uid="{166FF952-79D4-4A66-ACD0-89299B0D1CF1}"/>
    <hyperlink ref="F114" r:id="rId34" xr:uid="{E6297545-1E65-4FE9-B5E3-CC06E35E0862}"/>
    <hyperlink ref="F117" r:id="rId35" display="https://www.oekobaudat.de/OEKOBAU.DAT/datasetdetail/process.xhtml?uuid=b9c775be-d100-4d35-bdf3-c5964e655692&amp;version=20.19.120" xr:uid="{EB777B2E-09F6-4615-AD25-0E61F0E150BA}"/>
    <hyperlink ref="F116" r:id="rId36" xr:uid="{902FC8AD-6EDF-4BA5-9405-CAD66B2FF989}"/>
    <hyperlink ref="F115" r:id="rId37" xr:uid="{7B02DAA9-3811-4954-990B-B00C7B18BA88}"/>
    <hyperlink ref="F118" r:id="rId38" xr:uid="{3D4BE5C2-4601-4A81-BE13-373F24619480}"/>
    <hyperlink ref="F119" r:id="rId39" display="https://www.oekobaudat.de/OEKOBAU.DAT/datasetdetail/process.xhtml?uuid=b9c775be-d100-4d35-bdf3-c5964e655692&amp;version=20.19.120" xr:uid="{7F3A58BA-2BDB-417E-A51E-75108A6EDBFC}"/>
    <hyperlink ref="F123" r:id="rId40" xr:uid="{5C903507-F3AC-401E-A25E-26977122C3CB}"/>
    <hyperlink ref="F124" r:id="rId41" xr:uid="{615D0126-4491-4A79-A205-C463BC312AFA}"/>
    <hyperlink ref="F129" r:id="rId42" xr:uid="{22735FC1-F567-488D-9719-96773FAD0DC6}"/>
    <hyperlink ref="F130" r:id="rId43" xr:uid="{24647FA7-AD09-4A5D-884F-7806C8816937}"/>
    <hyperlink ref="F131" r:id="rId44" display="https://www.oekobaudat.de/OEKOBAU.DAT/datasetdetail/process.xhtml?uuid=b9c775be-d100-4d35-bdf3-c5964e655692&amp;version=20.19.120" xr:uid="{388B202B-5193-4D5E-A689-4F16093EC004}"/>
    <hyperlink ref="F133" r:id="rId45" xr:uid="{88F49741-EAD8-4E0F-B81D-1A8CFF252FE4}"/>
    <hyperlink ref="F134" r:id="rId46" xr:uid="{4E4C375A-D49B-4EB0-B73A-7FBA5244AF9A}"/>
    <hyperlink ref="F136" r:id="rId47" display="https://www.oekobaudat.de/OEKOBAU.DAT/datasetdetail/process.xhtml?uuid=b9c775be-d100-4d35-bdf3-c5964e655692&amp;version=20.19.120" xr:uid="{D06805BB-1426-481E-92C6-6ED9A9A68346}"/>
    <hyperlink ref="F137" r:id="rId48" xr:uid="{29A7E8DF-DB0F-42A0-86A1-855C7E4F43DA}"/>
    <hyperlink ref="F138" r:id="rId49" xr:uid="{67597638-FEFA-43F7-9A84-13F288C9C100}"/>
    <hyperlink ref="F139" r:id="rId50" display="https://www.oekobaudat.de/OEKOBAU.DAT/datasetdetail/process.xhtml?uuid=b9c775be-d100-4d35-bdf3-c5964e655692&amp;version=20.19.120" xr:uid="{289E7C63-B1AD-4C48-9B39-E9A2B1A5B99E}"/>
    <hyperlink ref="F143" r:id="rId51" display="https://www.oekobaudat.de/OEKOBAU.DAT/datasetdetail/process.xhtml?uuid=b9c775be-d100-4d35-bdf3-c5964e655692&amp;version=20.19.120" xr:uid="{93ED7FF7-48B1-46F0-B625-4080F13741A2}"/>
    <hyperlink ref="F142" r:id="rId52" xr:uid="{BC32ED45-93BA-4F22-A81C-B768CBC1C0C3}"/>
    <hyperlink ref="F141" r:id="rId53" xr:uid="{944EFD19-A4BE-4096-8FED-BFE9803644B5}"/>
    <hyperlink ref="F144" r:id="rId54" xr:uid="{D428EC40-EFAE-482D-A59A-6E3330D92A0C}"/>
    <hyperlink ref="F145" r:id="rId55" xr:uid="{BF17C0BF-9553-4492-B9D1-74F7E3B0743F}"/>
    <hyperlink ref="F146" r:id="rId56" xr:uid="{909A68E1-A749-45DE-ACF7-C52505B5305A}"/>
    <hyperlink ref="F147" r:id="rId57" display="https://www.oekobaudat.de/OEKOBAU.DAT/datasetdetail/process.xhtml?uuid=b9c775be-d100-4d35-bdf3-c5964e655692&amp;version=20.19.120" xr:uid="{ADC95B34-CDF4-48E3-8896-6DFADFE6B84B}"/>
    <hyperlink ref="F152" r:id="rId58" display="https://www.oekobaudat.de/OEKOBAU.DAT/datasetdetail/process.xhtml?uuid=b9c775be-d100-4d35-bdf3-c5964e655692&amp;version=20.19.120" xr:uid="{B276331C-8F75-455E-AE96-63B2AA3AE73E}"/>
    <hyperlink ref="F148" r:id="rId59" xr:uid="{7BEFE815-EB22-4466-9AE9-47386F6507C9}"/>
    <hyperlink ref="F149" r:id="rId60" xr:uid="{29906492-BD88-4CEF-B1DC-13212654E24A}"/>
    <hyperlink ref="F150" r:id="rId61" xr:uid="{33130EB7-1C22-4556-84D5-2C43DACEAE89}"/>
    <hyperlink ref="F151" r:id="rId62" xr:uid="{780A16BF-9BE5-4624-8BFC-6CD38A66CC5B}"/>
    <hyperlink ref="F153" r:id="rId63" xr:uid="{F6E28B50-1574-4F5F-AC07-AB2402D6815E}"/>
    <hyperlink ref="F156" r:id="rId64" xr:uid="{75751C9D-723A-4EB5-8D6C-261BA5BC2D44}"/>
    <hyperlink ref="F157" r:id="rId65" xr:uid="{422EC153-B181-4713-AE48-B0181E2540D1}"/>
    <hyperlink ref="F158" r:id="rId66" xr:uid="{58E15B0D-0AAD-43B9-916F-94C975D8EFDA}"/>
    <hyperlink ref="F159" r:id="rId67" xr:uid="{624677DF-10E5-4EB6-9559-12D9DF9C7A60}"/>
    <hyperlink ref="F160" r:id="rId68" display="https://www.oekobaudat.de/OEKOBAU.DAT/datasetdetail/process.xhtml?uuid=b9c775be-d100-4d35-bdf3-c5964e655692&amp;version=20.19.120" xr:uid="{925CD42A-067D-419A-8DB3-7FD0523E0CDB}"/>
    <hyperlink ref="F162" r:id="rId69" xr:uid="{CE5F9E78-4157-42B2-80AB-AD037F57FC62}"/>
    <hyperlink ref="F163" r:id="rId70" display="https://www.oekobaudat.de/OEKOBAU.DAT/datasetdetail/process.xhtml?uuid=b9c775be-d100-4d35-bdf3-c5964e655692&amp;version=20.19.120" xr:uid="{BE3CA1D4-4240-4788-98FA-4361A860C6DB}"/>
    <hyperlink ref="F161" r:id="rId71" xr:uid="{7773C323-1B73-47F6-8296-8EF8728B6E9B}"/>
    <hyperlink ref="F164" r:id="rId72" xr:uid="{6DB97ECA-825F-4A4A-AEF1-F867D826D383}"/>
    <hyperlink ref="F165" r:id="rId73" xr:uid="{0F3BA884-8F43-4229-83A6-99D79D36F8B5}"/>
    <hyperlink ref="F166" r:id="rId74" xr:uid="{2D790D54-B55D-4957-859F-F7414F096586}"/>
    <hyperlink ref="F167" r:id="rId75" display="https://www.oekobaudat.de/OEKOBAU.DAT/datasetdetail/process.xhtml?uuid=b9c775be-d100-4d35-bdf3-c5964e655692&amp;version=20.19.120" xr:uid="{31896FFF-1801-44BE-B729-63C43B8404AA}"/>
    <hyperlink ref="F169" r:id="rId76" xr:uid="{9B3EE5E4-3BAD-4785-A5D1-0071135FA934}"/>
    <hyperlink ref="F170" r:id="rId77" display="https://www.oekobaudat.de/OEKOBAU.DAT/datasetdetail/process.xhtml?uuid=b9c775be-d100-4d35-bdf3-c5964e655692&amp;version=20.19.120" xr:uid="{DD555C6D-6D89-4FD4-B878-73411502E0F1}"/>
    <hyperlink ref="F168" r:id="rId78" xr:uid="{01E4C6A6-5974-48E0-8F83-05C63D4930A4}"/>
    <hyperlink ref="F171" r:id="rId79" xr:uid="{D97AA5A9-A4B0-4BA8-B1A5-5AAFABDD3AE5}"/>
    <hyperlink ref="F172" r:id="rId80" xr:uid="{A7DDE3F5-3782-452B-B372-57B24CD72692}"/>
    <hyperlink ref="F173" r:id="rId81" xr:uid="{14440A2E-02D0-400A-B6CE-45BA16EC3533}"/>
    <hyperlink ref="F176" r:id="rId82" xr:uid="{47300DD9-752C-40DF-B66E-1E51103D50BD}"/>
    <hyperlink ref="F177" r:id="rId83" xr:uid="{CC6DC931-D531-42E7-8BBB-725E08AD9920}"/>
    <hyperlink ref="F178" r:id="rId84" xr:uid="{E2EBD789-F831-4827-8FA4-F4AD1BEACDD7}"/>
    <hyperlink ref="F179" r:id="rId85" xr:uid="{8447187A-4C0E-402A-B9D7-BC422A6B59B0}"/>
    <hyperlink ref="F212" r:id="rId86" xr:uid="{D77B2F8A-16D9-4657-B8A5-4098651A16FE}"/>
    <hyperlink ref="F213" r:id="rId87" xr:uid="{C0E33538-4A04-44B6-A8A0-4358D392B065}"/>
    <hyperlink ref="F214" r:id="rId88" xr:uid="{4185BFA6-8BE3-4B50-B6D2-2F9B67D4BB9C}"/>
    <hyperlink ref="F215" r:id="rId89" xr:uid="{1B5E07C1-A0A9-4916-93A8-F169FD82E286}"/>
    <hyperlink ref="F216" r:id="rId90" display="https://www.oekobaudat.de/OEKOBAU.DAT/datasetdetail/process.xhtml?uuid=b9c775be-d100-4d35-bdf3-c5964e655692&amp;version=20.19.120" xr:uid="{6EFD4045-1132-40C7-86CB-B0092F4092FB}"/>
    <hyperlink ref="F186" r:id="rId91" xr:uid="{86656DBA-A1E0-4542-96B5-323B5E4C8E04}"/>
    <hyperlink ref="F187" r:id="rId92" xr:uid="{AC365BDC-846A-45B6-A4B5-0213BD28E899}"/>
    <hyperlink ref="F188" r:id="rId93" display="https://www.oekobaudat.de/OEKOBAU.DAT/datasetdetail/process.xhtml?uuid=b9c775be-d100-4d35-bdf3-c5964e655692&amp;version=20.19.120" xr:uid="{C0B2AD9E-9EE4-4F15-A4AD-A38BBC6B1777}"/>
    <hyperlink ref="F185" r:id="rId94" xr:uid="{6BEC78DE-11AD-4C00-A0D2-C87D0D8E3777}"/>
    <hyperlink ref="F183" r:id="rId95" xr:uid="{D8A74BD7-A72D-4E45-84A1-FC2051D7E54A}"/>
    <hyperlink ref="F184" r:id="rId96" xr:uid="{18AA0452-5880-4D6C-A113-B9C33D60357D}"/>
    <hyperlink ref="F189" r:id="rId97" xr:uid="{1B99564E-0A64-4258-972C-BA93B7597CEE}"/>
    <hyperlink ref="F190" r:id="rId98" xr:uid="{F8529F48-294A-4F58-9BFC-A104CD40ED4C}"/>
    <hyperlink ref="F191" r:id="rId99" display="https://www.oekobaudat.de/OEKOBAU.DAT/datasetdetail/process.xhtml?uuid=b9c775be-d100-4d35-bdf3-c5964e655692&amp;version=20.19.120" xr:uid="{DFDCD2DB-000C-4740-904E-23D57BAC55AA}"/>
    <hyperlink ref="F192" r:id="rId100" xr:uid="{26B74ACD-535E-458D-BF25-7139BBAC5CCE}"/>
    <hyperlink ref="F195" r:id="rId101" display="https://www.oekobaudat.de/OEKOBAU.DAT/datasetdetail/process.xhtml?uuid=b9c775be-d100-4d35-bdf3-c5964e655692&amp;version=20.19.120" xr:uid="{9E907FCA-86D2-4568-9FD6-92AAFB0CC9ED}"/>
    <hyperlink ref="F194" r:id="rId102" xr:uid="{75A20FC7-5908-47C7-BB26-D82CFBB32EE1}"/>
    <hyperlink ref="F199" r:id="rId103" xr:uid="{03BD1A1A-8249-40F5-9145-ED22D57E7613}"/>
    <hyperlink ref="F201" r:id="rId104" display="https://www.oekobaudat.de/OEKOBAU.DAT/datasetdetail/process.xhtml?uuid=b9c775be-d100-4d35-bdf3-c5964e655692&amp;version=20.19.120" xr:uid="{9B01BAC0-181B-4E64-8B53-5817F8CCCE43}"/>
    <hyperlink ref="F197" r:id="rId105" xr:uid="{491C1CBE-60B9-440B-BDDA-20CF14651AB6}"/>
    <hyperlink ref="F198" r:id="rId106" xr:uid="{07A01D27-8A27-42DA-B32D-176D0EAA022B}"/>
    <hyperlink ref="F200" r:id="rId107" xr:uid="{9C2F5985-A71D-4797-9078-F08526142EF9}"/>
    <hyperlink ref="F203" r:id="rId108" xr:uid="{FBF67A71-2CC2-4A07-82EF-D9D323618669}"/>
    <hyperlink ref="F205" r:id="rId109" display="https://www.oekobaudat.de/OEKOBAU.DAT/datasetdetail/process.xhtml?uuid=b9c775be-d100-4d35-bdf3-c5964e655692&amp;version=20.19.120" xr:uid="{649E1799-8663-413D-8A5B-8F2255C276A4}"/>
    <hyperlink ref="F206" r:id="rId110" xr:uid="{062F6733-2AC6-4809-952B-38FCEF9DB66A}"/>
    <hyperlink ref="F208" r:id="rId111" xr:uid="{98148E49-79B4-4400-BBDE-AC7AAAFB95E6}"/>
    <hyperlink ref="F207" r:id="rId112" xr:uid="{D62F1B7E-E338-4809-8AF3-23E730B74F5D}"/>
    <hyperlink ref="F209" r:id="rId113" xr:uid="{66E7CBFD-F57F-478A-AB4E-191B4A6E703E}"/>
    <hyperlink ref="F210" r:id="rId114" xr:uid="{0B6DA925-0935-465A-8D2B-7CF757D3E83F}"/>
    <hyperlink ref="F221" r:id="rId115" display="https://www.oekobaudat.de/OEKOBAU.DAT/datasetdetail/process.xhtml?uuid=b9c775be-d100-4d35-bdf3-c5964e655692&amp;version=20.19.120" xr:uid="{1D9794D2-6E28-4591-9963-432DDB5889BB}"/>
    <hyperlink ref="F230" r:id="rId116" xr:uid="{555B2F8D-8032-4F03-8EE2-126B8B970F3D}"/>
    <hyperlink ref="F231" r:id="rId117" display="https://www.oekobaudat.de/OEKOBAU.DAT/datasetdetail/process.xhtml?uuid=b9c775be-d100-4d35-bdf3-c5964e655692&amp;version=20.19.120" xr:uid="{ABD2F781-E1FC-4B74-BF09-697CBF09D221}"/>
    <hyperlink ref="F236" r:id="rId118" xr:uid="{F80C7CA1-A813-482E-805E-498EBFAF0C74}"/>
    <hyperlink ref="F237" r:id="rId119" xr:uid="{B6E85764-124A-4A45-99F3-F7CC7C07E88B}"/>
    <hyperlink ref="F240" r:id="rId120" xr:uid="{A21C1298-E08D-4E60-87A7-69BB01617AAD}"/>
    <hyperlink ref="F244" r:id="rId121" xr:uid="{281AD5F5-7D47-4F7D-BC3A-BE91F79C6CD1}"/>
    <hyperlink ref="F247" r:id="rId122" xr:uid="{725AE0B3-81D7-4672-81CC-019D3B6C26E8}"/>
    <hyperlink ref="F248" r:id="rId123" display="https://www.oekobaudat.de/OEKOBAU.DAT/datasetdetail/process.xhtml?uuid=b9c775be-d100-4d35-bdf3-c5964e655692&amp;version=20.19.120" xr:uid="{85D50B60-B92F-437A-9024-3BFA390328F4}"/>
    <hyperlink ref="F251" r:id="rId124" xr:uid="{E927E124-A045-43ED-A545-C09628FA0FB6}"/>
    <hyperlink ref="F250" r:id="rId125" xr:uid="{FC0168C2-C201-4CE2-AD17-A326AF3A857F}"/>
    <hyperlink ref="F252" r:id="rId126" display="https://www.oekobaudat.de/OEKOBAU.DAT/datasetdetail/process.xhtml?uuid=b9c775be-d100-4d35-bdf3-c5964e655692&amp;version=20.19.120" xr:uid="{A7D68563-1DBF-477F-8E88-07F896F8FE9D}"/>
    <hyperlink ref="F254" r:id="rId127" xr:uid="{01DFB515-7559-4F0E-B14A-B5935DF48F03}"/>
    <hyperlink ref="F257" r:id="rId128" xr:uid="{01E47477-7BF2-4868-B742-D03B9F43BB3A}"/>
    <hyperlink ref="F255" r:id="rId129" xr:uid="{573DBE32-ECFA-44DB-934A-8CAA4AEFF2EC}"/>
    <hyperlink ref="F260" r:id="rId130" xr:uid="{C73DF291-45C6-45BB-A620-E24B0DA0B557}"/>
    <hyperlink ref="F300" r:id="rId131" xr:uid="{C38B47D1-73D4-46EC-A04D-4573F0A1451E}"/>
    <hyperlink ref="F301" r:id="rId132" display="https://www.oekobaudat.de/OEKOBAU.DAT/datasetdetail/process.xhtml?uuid=b9c775be-d100-4d35-bdf3-c5964e655692&amp;version=20.19.120" xr:uid="{F8583838-B126-4EB2-AECB-07ED2ACD2274}"/>
    <hyperlink ref="F299" r:id="rId133" display="https://www.oekobaudat.de/OEKOBAU.DAT/datasetdetail/process.xhtml?uuid=b9c775be-d100-4d35-bdf3-c5964e655692&amp;version=20.19.120" xr:uid="{308E2C22-9A2F-4116-868E-351174E49F49}"/>
    <hyperlink ref="F298" r:id="rId134" xr:uid="{EB37CD82-9686-4846-9603-4B75857A5883}"/>
    <hyperlink ref="F321" r:id="rId135" xr:uid="{D94729A4-532F-4C35-A592-2F0B9F22FB8B}"/>
    <hyperlink ref="B29" r:id="rId136" xr:uid="{50FB869A-9C9C-4DBD-9509-92DD7A9038E0}"/>
  </hyperlinks>
  <pageMargins left="0.7" right="0.7" top="0.75" bottom="0.75" header="0.3" footer="0.3"/>
  <pageSetup paperSize="9" orientation="portrait" r:id="rId137"/>
  <drawing r:id="rId13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A99507DC7F4DF49802720261FC5CF01" ma:contentTypeVersion="15" ma:contentTypeDescription="Opret et nyt dokument." ma:contentTypeScope="" ma:versionID="13feab4034d7a65839dab8c3ec3a4a26">
  <xsd:schema xmlns:xsd="http://www.w3.org/2001/XMLSchema" xmlns:xs="http://www.w3.org/2001/XMLSchema" xmlns:p="http://schemas.microsoft.com/office/2006/metadata/properties" xmlns:ns2="b7badc32-255d-4990-b255-f132f0a00cb1" xmlns:ns3="fdf10c80-8f9e-4c0e-b2d8-00f19cb6f6eb" targetNamespace="http://schemas.microsoft.com/office/2006/metadata/properties" ma:root="true" ma:fieldsID="a5ff465b4445b5a132a32931ba622412" ns2:_="" ns3:_="">
    <xsd:import namespace="b7badc32-255d-4990-b255-f132f0a00cb1"/>
    <xsd:import namespace="fdf10c80-8f9e-4c0e-b2d8-00f19cb6f6e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badc32-255d-4990-b255-f132f0a00c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ledmærker" ma:readOnly="false" ma:fieldId="{5cf76f15-5ced-4ddc-b409-7134ff3c332f}" ma:taxonomyMulti="true" ma:sspId="2bd36682-a37a-41e2-aea7-67fc35f71e0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f10c80-8f9e-4c0e-b2d8-00f19cb6f6e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530c81d-b4a7-4fb9-b00c-d7cc44312e15}" ma:internalName="TaxCatchAll" ma:showField="CatchAllData" ma:web="fdf10c80-8f9e-4c0e-b2d8-00f19cb6f6e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lt med 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7badc32-255d-4990-b255-f132f0a00cb1">
      <Terms xmlns="http://schemas.microsoft.com/office/infopath/2007/PartnerControls"/>
    </lcf76f155ced4ddcb4097134ff3c332f>
    <TaxCatchAll xmlns="fdf10c80-8f9e-4c0e-b2d8-00f19cb6f6eb" xsi:nil="true"/>
  </documentManagement>
</p:properties>
</file>

<file path=customXml/itemProps1.xml><?xml version="1.0" encoding="utf-8"?>
<ds:datastoreItem xmlns:ds="http://schemas.openxmlformats.org/officeDocument/2006/customXml" ds:itemID="{E8DFF663-77BC-4830-A741-8FC319FDC5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badc32-255d-4990-b255-f132f0a00cb1"/>
    <ds:schemaRef ds:uri="fdf10c80-8f9e-4c0e-b2d8-00f19cb6f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3D962E-58F7-48CB-9A10-FD8BF5BA10C3}">
  <ds:schemaRefs>
    <ds:schemaRef ds:uri="http://schemas.microsoft.com/sharepoint/v3/contenttype/forms"/>
  </ds:schemaRefs>
</ds:datastoreItem>
</file>

<file path=customXml/itemProps3.xml><?xml version="1.0" encoding="utf-8"?>
<ds:datastoreItem xmlns:ds="http://schemas.openxmlformats.org/officeDocument/2006/customXml" ds:itemID="{1B1EF0D4-CF85-49D3-8E3E-7225E9E9D5A3}">
  <ds:schemaRefs>
    <ds:schemaRef ds:uri="http://schemas.microsoft.com/office/infopath/2007/PartnerControls"/>
    <ds:schemaRef ds:uri="http://www.w3.org/XML/1998/namespace"/>
    <ds:schemaRef ds:uri="http://schemas.microsoft.com/office/2006/documentManagement/types"/>
    <ds:schemaRef ds:uri="http://purl.org/dc/elements/1.1/"/>
    <ds:schemaRef ds:uri="717cc5c4-6e26-44cd-a362-82fcfc338cbe"/>
    <ds:schemaRef ds:uri="http://schemas.openxmlformats.org/package/2006/metadata/core-properties"/>
    <ds:schemaRef ds:uri="http://schemas.microsoft.com/office/2006/metadata/properties"/>
    <ds:schemaRef ds:uri="1a5a2bfc-2780-414f-ad08-f6182e1755f9"/>
    <ds:schemaRef ds:uri="http://purl.org/dc/dcmitype/"/>
    <ds:schemaRef ds:uri="http://purl.org/dc/terms/"/>
    <ds:schemaRef ds:uri="b7badc32-255d-4990-b255-f132f0a00cb1"/>
    <ds:schemaRef ds:uri="fdf10c80-8f9e-4c0e-b2d8-00f19cb6f6e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39</vt:i4>
      </vt:variant>
    </vt:vector>
  </HeadingPairs>
  <TitlesOfParts>
    <vt:vector size="47" baseType="lpstr">
      <vt:lpstr>Forside</vt:lpstr>
      <vt:lpstr>Scenarier</vt:lpstr>
      <vt:lpstr>Solceller</vt:lpstr>
      <vt:lpstr>Varmetab</vt:lpstr>
      <vt:lpstr>Baggrund data</vt:lpstr>
      <vt:lpstr>LCA data</vt:lpstr>
      <vt:lpstr>Dropdown</vt:lpstr>
      <vt:lpstr>Antagelser</vt:lpstr>
      <vt:lpstr>A_Fundament_ddown</vt:lpstr>
      <vt:lpstr>A_Procent_Yder1</vt:lpstr>
      <vt:lpstr>A_Procent_Yder2</vt:lpstr>
      <vt:lpstr>A_Procent_Yder3</vt:lpstr>
      <vt:lpstr>A_Procent_Yder4</vt:lpstr>
      <vt:lpstr>Dropdown!aluPEX</vt:lpstr>
      <vt:lpstr>AluPEX</vt:lpstr>
      <vt:lpstr>Varmetab!Angiv_ikke</vt:lpstr>
      <vt:lpstr>Angiv_ikke</vt:lpstr>
      <vt:lpstr>Antal_Etager_ddrop</vt:lpstr>
      <vt:lpstr>Benyt_Standard_ddown</vt:lpstr>
      <vt:lpstr>Bygningstype_ddown</vt:lpstr>
      <vt:lpstr>Er_der_kælder</vt:lpstr>
      <vt:lpstr>Fundament_ddown</vt:lpstr>
      <vt:lpstr>Ingen</vt:lpstr>
      <vt:lpstr>Ingen_rørudskift</vt:lpstr>
      <vt:lpstr>Ja_Nej_ddown</vt:lpstr>
      <vt:lpstr>Dropdown!Kobber</vt:lpstr>
      <vt:lpstr>Kobber</vt:lpstr>
      <vt:lpstr>Dropdown!PEX</vt:lpstr>
      <vt:lpstr>PEX</vt:lpstr>
      <vt:lpstr>Scenarier!Print_Area</vt:lpstr>
      <vt:lpstr>Dropdown!Rustfast_stål</vt:lpstr>
      <vt:lpstr>Rustfast_stål</vt:lpstr>
      <vt:lpstr>Solcelle_vinkel_ddown</vt:lpstr>
      <vt:lpstr>Solceller_ddown</vt:lpstr>
      <vt:lpstr>Solceller_orientering_ddown</vt:lpstr>
      <vt:lpstr>Solceller_placering_ddown</vt:lpstr>
      <vt:lpstr>Solceller_vælg_standard_ddown</vt:lpstr>
      <vt:lpstr>Tag</vt:lpstr>
      <vt:lpstr>Tagform_ddown</vt:lpstr>
      <vt:lpstr>Terrændæk</vt:lpstr>
      <vt:lpstr>Type_ddown</vt:lpstr>
      <vt:lpstr>Vinduer</vt:lpstr>
      <vt:lpstr>Vælg_BygningsTYPER</vt:lpstr>
      <vt:lpstr>Vælg_isolering</vt:lpstr>
      <vt:lpstr>VÆLG_TYPEN</vt:lpstr>
      <vt:lpstr>Ydervæg</vt:lpstr>
      <vt:lpstr>År_for_byggetilladelse_ddown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 Skov</dc:creator>
  <cp:keywords/>
  <dc:description/>
  <cp:lastModifiedBy>Nicolai  Hou Thomsen (Transition)</cp:lastModifiedBy>
  <cp:revision/>
  <cp:lastPrinted>2024-05-30T11:09:20Z</cp:lastPrinted>
  <dcterms:created xsi:type="dcterms:W3CDTF">2021-05-19T07:36:08Z</dcterms:created>
  <dcterms:modified xsi:type="dcterms:W3CDTF">2024-05-30T11:41:39Z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0x010100BA99507DC7F4DF49802720261FC5CF01</vt:lpwstr>
  </property>
</Properties>
</file>